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6be5d5d1c48d3ed/Documents/Strathearn Harriers/Finance/2024 Accounts/"/>
    </mc:Choice>
  </mc:AlternateContent>
  <xr:revisionPtr revIDLastSave="0" documentId="8_{87C4F85C-7F93-4047-A5EF-69C46C498305}" xr6:coauthVersionLast="47" xr6:coauthVersionMax="47" xr10:uidLastSave="{00000000-0000-0000-0000-000000000000}"/>
  <bookViews>
    <workbookView xWindow="-108" yWindow="-108" windowWidth="23256" windowHeight="12456" activeTab="2" xr2:uid="{5E1AECA4-6A23-4F26-9F2E-D93279B1003E}"/>
  </bookViews>
  <sheets>
    <sheet name="SOFA 2024" sheetId="2" r:id="rId1"/>
    <sheet name="Balance Sheet 2024" sheetId="8" r:id="rId2"/>
    <sheet name="Notes 2024" sheetId="7" r:id="rId3"/>
    <sheet name="accountsye311224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3">accountsye311224!$A$1:$I$67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7" l="1"/>
  <c r="C62" i="6"/>
  <c r="C61" i="6"/>
  <c r="D23" i="7"/>
  <c r="N21" i="8"/>
  <c r="K19" i="8" s="1"/>
  <c r="K21" i="8" s="1"/>
  <c r="H19" i="8" s="1"/>
  <c r="H21" i="8" s="1"/>
  <c r="E19" i="8" s="1"/>
  <c r="N20" i="8"/>
  <c r="K20" i="8"/>
  <c r="H20" i="8"/>
  <c r="N15" i="8"/>
  <c r="K15" i="8"/>
  <c r="D14" i="8"/>
  <c r="D13" i="8"/>
  <c r="G12" i="8"/>
  <c r="H15" i="8" s="1"/>
  <c r="N9" i="8"/>
  <c r="N16" i="8" s="1"/>
  <c r="K9" i="8"/>
  <c r="K16" i="8" s="1"/>
  <c r="K8" i="8"/>
  <c r="H8" i="8"/>
  <c r="H7" i="8"/>
  <c r="F88" i="7"/>
  <c r="H87" i="7"/>
  <c r="H88" i="7" s="1"/>
  <c r="D86" i="7"/>
  <c r="J84" i="7"/>
  <c r="J88" i="7" s="1"/>
  <c r="D74" i="7"/>
  <c r="D73" i="7"/>
  <c r="D72" i="7"/>
  <c r="D71" i="7"/>
  <c r="D75" i="7" s="1"/>
  <c r="D51" i="7"/>
  <c r="D47" i="7"/>
  <c r="D45" i="7"/>
  <c r="D44" i="7"/>
  <c r="D43" i="7"/>
  <c r="D42" i="7"/>
  <c r="D41" i="7"/>
  <c r="D28" i="7"/>
  <c r="J27" i="7"/>
  <c r="H27" i="7"/>
  <c r="D27" i="7"/>
  <c r="F25" i="7"/>
  <c r="F30" i="7" s="1"/>
  <c r="J22" i="7"/>
  <c r="J25" i="7" s="1"/>
  <c r="H22" i="7"/>
  <c r="H25" i="7" s="1"/>
  <c r="H30" i="7" s="1"/>
  <c r="J12" i="7"/>
  <c r="H12" i="7"/>
  <c r="F7" i="7" s="1"/>
  <c r="F9" i="7" s="1"/>
  <c r="J10" i="7"/>
  <c r="H9" i="7"/>
  <c r="H13" i="7" s="1"/>
  <c r="J8" i="7"/>
  <c r="J9" i="7" s="1"/>
  <c r="C85" i="6"/>
  <c r="C87" i="6" s="1"/>
  <c r="C77" i="6"/>
  <c r="C78" i="6" s="1"/>
  <c r="C75" i="6"/>
  <c r="C74" i="6"/>
  <c r="C70" i="6"/>
  <c r="C67" i="6"/>
  <c r="C60" i="6"/>
  <c r="D52" i="7" s="1"/>
  <c r="C53" i="6"/>
  <c r="F31" i="2" s="1"/>
  <c r="C52" i="6"/>
  <c r="G24" i="6" s="1"/>
  <c r="C51" i="6"/>
  <c r="C50" i="6"/>
  <c r="F29" i="2" s="1"/>
  <c r="C49" i="6"/>
  <c r="C48" i="6"/>
  <c r="D54" i="7" s="1"/>
  <c r="D56" i="7" s="1"/>
  <c r="C47" i="6"/>
  <c r="F23" i="2" s="1"/>
  <c r="C46" i="6"/>
  <c r="G45" i="6"/>
  <c r="C45" i="6"/>
  <c r="F20" i="2" s="1"/>
  <c r="C44" i="6"/>
  <c r="C43" i="6"/>
  <c r="C42" i="6"/>
  <c r="C41" i="6"/>
  <c r="D18" i="7" s="1"/>
  <c r="C40" i="6"/>
  <c r="D36" i="7" s="1"/>
  <c r="C39" i="6"/>
  <c r="C38" i="6"/>
  <c r="C37" i="6"/>
  <c r="C36" i="6"/>
  <c r="C35" i="6"/>
  <c r="C34" i="6"/>
  <c r="C33" i="6"/>
  <c r="C32" i="6"/>
  <c r="C31" i="6"/>
  <c r="C30" i="6"/>
  <c r="D8" i="7" s="1"/>
  <c r="C29" i="6"/>
  <c r="F17" i="6" s="1"/>
  <c r="C23" i="6"/>
  <c r="C22" i="6"/>
  <c r="G26" i="6" s="1"/>
  <c r="C21" i="6"/>
  <c r="C81" i="6" s="1"/>
  <c r="D85" i="7" s="1"/>
  <c r="C20" i="6"/>
  <c r="C19" i="6"/>
  <c r="C18" i="6"/>
  <c r="C17" i="6"/>
  <c r="C16" i="6"/>
  <c r="C15" i="6"/>
  <c r="D10" i="7" s="1"/>
  <c r="C14" i="6"/>
  <c r="L13" i="6"/>
  <c r="C13" i="6"/>
  <c r="D22" i="7" s="1"/>
  <c r="C12" i="6"/>
  <c r="G11" i="2" s="1"/>
  <c r="C11" i="6"/>
  <c r="D17" i="7" s="1"/>
  <c r="C10" i="6"/>
  <c r="C9" i="6"/>
  <c r="L8" i="6"/>
  <c r="L15" i="6" s="1"/>
  <c r="C8" i="6"/>
  <c r="C7" i="6"/>
  <c r="C6" i="6"/>
  <c r="G7" i="2" s="1"/>
  <c r="D25" i="7" l="1"/>
  <c r="D30" i="7" s="1"/>
  <c r="J30" i="7"/>
  <c r="G12" i="6"/>
  <c r="G28" i="6"/>
  <c r="F21" i="6"/>
  <c r="D33" i="7"/>
  <c r="D34" i="7"/>
  <c r="G10" i="6"/>
  <c r="G34" i="6"/>
  <c r="F25" i="2"/>
  <c r="F20" i="6"/>
  <c r="G8" i="2"/>
  <c r="G10" i="2"/>
  <c r="F21" i="2"/>
  <c r="F30" i="2"/>
  <c r="C79" i="6"/>
  <c r="D84" i="7" s="1"/>
  <c r="F24" i="2"/>
  <c r="H9" i="8"/>
  <c r="H16" i="8" s="1"/>
  <c r="G14" i="6"/>
  <c r="F22" i="2"/>
  <c r="C25" i="6"/>
  <c r="G14" i="2"/>
  <c r="G8" i="6"/>
  <c r="G13" i="2"/>
  <c r="D59" i="7"/>
  <c r="D62" i="7" s="1"/>
  <c r="D63" i="7"/>
  <c r="D66" i="7" s="1"/>
  <c r="D87" i="7"/>
  <c r="D50" i="7"/>
  <c r="D53" i="7" s="1"/>
  <c r="D57" i="7" s="1"/>
  <c r="G32" i="6"/>
  <c r="G12" i="2"/>
  <c r="E15" i="8"/>
  <c r="G30" i="6"/>
  <c r="D16" i="7"/>
  <c r="F16" i="6"/>
  <c r="G18" i="6" s="1"/>
  <c r="F19" i="2"/>
  <c r="G9" i="2"/>
  <c r="D46" i="7"/>
  <c r="F12" i="7"/>
  <c r="D7" i="7" s="1"/>
  <c r="D9" i="7" s="1"/>
  <c r="F13" i="7"/>
  <c r="C55" i="6"/>
  <c r="D35" i="7" l="1"/>
  <c r="D37" i="7" s="1"/>
  <c r="D88" i="7"/>
  <c r="D91" i="7" s="1"/>
  <c r="G22" i="6"/>
  <c r="D19" i="7"/>
  <c r="C90" i="6"/>
  <c r="C57" i="6"/>
  <c r="C68" i="6" s="1"/>
  <c r="D67" i="7"/>
  <c r="D12" i="7"/>
  <c r="D13" i="7" s="1"/>
  <c r="E8" i="8" l="1"/>
  <c r="P32" i="2"/>
  <c r="J32" i="2"/>
  <c r="L31" i="2"/>
  <c r="L30" i="2"/>
  <c r="L29" i="2"/>
  <c r="P26" i="2"/>
  <c r="J26" i="2"/>
  <c r="L24" i="2"/>
  <c r="L23" i="2"/>
  <c r="L22" i="2"/>
  <c r="L21" i="2"/>
  <c r="L20" i="2"/>
  <c r="I20" i="2"/>
  <c r="L19" i="2"/>
  <c r="P15" i="2"/>
  <c r="P27" i="2" s="1"/>
  <c r="M14" i="2"/>
  <c r="M10" i="2"/>
  <c r="M9" i="2"/>
  <c r="M8" i="2"/>
  <c r="J8" i="2"/>
  <c r="J15" i="2" s="1"/>
  <c r="M7" i="2"/>
  <c r="G32" i="2" l="1"/>
  <c r="P33" i="2"/>
  <c r="M15" i="2"/>
  <c r="J27" i="2"/>
  <c r="J33" i="2" s="1"/>
  <c r="M26" i="2"/>
  <c r="M32" i="2"/>
  <c r="G26" i="2" l="1"/>
  <c r="G15" i="2"/>
  <c r="M27" i="2"/>
  <c r="M33" i="2" s="1"/>
  <c r="G27" i="2" l="1"/>
  <c r="G33" i="2" s="1"/>
  <c r="E7" i="8" l="1"/>
  <c r="E9" i="8" s="1"/>
  <c r="E16" i="8" s="1"/>
  <c r="E20" i="8"/>
  <c r="E21" i="8" s="1"/>
</calcChain>
</file>

<file path=xl/sharedStrings.xml><?xml version="1.0" encoding="utf-8"?>
<sst xmlns="http://schemas.openxmlformats.org/spreadsheetml/2006/main" count="242" uniqueCount="201">
  <si>
    <t>Strathearn Harriers</t>
  </si>
  <si>
    <t>Statement of Financial Activities</t>
  </si>
  <si>
    <t>December 31 2023</t>
  </si>
  <si>
    <t>December 31 2022</t>
  </si>
  <si>
    <t>December 31 2021</t>
  </si>
  <si>
    <t>Notes</t>
  </si>
  <si>
    <t>`</t>
  </si>
  <si>
    <t>£</t>
  </si>
  <si>
    <t>Revenues</t>
  </si>
  <si>
    <t>Membership Fees</t>
  </si>
  <si>
    <t>Marathon  Income</t>
  </si>
  <si>
    <t>Comrie Hills Relay Income</t>
  </si>
  <si>
    <t>Crieff 10k</t>
  </si>
  <si>
    <t>Donations &amp; Grants</t>
  </si>
  <si>
    <t>Miscellaneous Income</t>
  </si>
  <si>
    <t>Less: Direct Expenditure</t>
  </si>
  <si>
    <t>SAL Affiliation Fees</t>
  </si>
  <si>
    <t>Marathon Costs</t>
  </si>
  <si>
    <t>CHR costs</t>
  </si>
  <si>
    <t>Crieff 10k costs</t>
  </si>
  <si>
    <t>Entry Fees Subsidies</t>
  </si>
  <si>
    <t>Junior Harriers Costs</t>
  </si>
  <si>
    <t>Net Clothing costs</t>
  </si>
  <si>
    <t>Less: Administration Costs</t>
  </si>
  <si>
    <t>General, Secretarial, Postage etc</t>
  </si>
  <si>
    <t>Social Events net Cost</t>
  </si>
  <si>
    <t>Charitable Donations</t>
  </si>
  <si>
    <t>Net Surplus/Deficit</t>
  </si>
  <si>
    <t>for the year to December 31st 2024</t>
  </si>
  <si>
    <t>December  31 2024</t>
  </si>
  <si>
    <t>Accounts - 12 months to 31 Dec 2024</t>
  </si>
  <si>
    <t>Income:</t>
  </si>
  <si>
    <t>Entry central reports</t>
  </si>
  <si>
    <t>Membership fees</t>
  </si>
  <si>
    <t>Summary:</t>
  </si>
  <si>
    <t>10k entry fees</t>
  </si>
  <si>
    <t>Marathon</t>
  </si>
  <si>
    <t>10k other income</t>
  </si>
  <si>
    <t>Surplus from Marathon</t>
  </si>
  <si>
    <t>Total</t>
  </si>
  <si>
    <t>10k Junior Race</t>
  </si>
  <si>
    <t xml:space="preserve"> </t>
  </si>
  <si>
    <t>Comrie Hills Relay entry fees</t>
  </si>
  <si>
    <t>Surplus from 10k</t>
  </si>
  <si>
    <t>BoS</t>
  </si>
  <si>
    <t>Comrie Hills Relay other income</t>
  </si>
  <si>
    <t>Entry Central</t>
  </si>
  <si>
    <t>Marathon entry fees</t>
  </si>
  <si>
    <t>Surplus from Junior Race</t>
  </si>
  <si>
    <t>Direct payments</t>
  </si>
  <si>
    <t>Marathon other income</t>
  </si>
  <si>
    <t>Sale of vests</t>
  </si>
  <si>
    <t>Surplus from CHR</t>
  </si>
  <si>
    <t>Sale of hoodies</t>
  </si>
  <si>
    <t>Difference</t>
  </si>
  <si>
    <t>Sale of long sleeved t shirts</t>
  </si>
  <si>
    <t>Other clothing sales</t>
  </si>
  <si>
    <t>SAL fees</t>
  </si>
  <si>
    <t>Other social events</t>
  </si>
  <si>
    <t>Bank interest</t>
  </si>
  <si>
    <t>Annual dinner</t>
  </si>
  <si>
    <t>Donations and Grants</t>
  </si>
  <si>
    <t>3,5</t>
  </si>
  <si>
    <t>Miscellaneous income</t>
  </si>
  <si>
    <t>Total income</t>
  </si>
  <si>
    <t>Junior Harriers costs</t>
  </si>
  <si>
    <t>Grants and Funding</t>
  </si>
  <si>
    <t>Expenditure:</t>
  </si>
  <si>
    <t>SAL affiliation fees</t>
  </si>
  <si>
    <t>Subsidy of race entry fees</t>
  </si>
  <si>
    <t>Purchase of vests</t>
  </si>
  <si>
    <t>Purchase of hoodies</t>
  </si>
  <si>
    <t>Net income / (cost) of clothing</t>
  </si>
  <si>
    <t>Purchase of long sleeved t shirts</t>
  </si>
  <si>
    <t>Purchase of other clothing</t>
  </si>
  <si>
    <t>Charitable donations (net)</t>
  </si>
  <si>
    <t>10k prize money</t>
  </si>
  <si>
    <t>10k hire of facilities</t>
  </si>
  <si>
    <t>Other misc items</t>
  </si>
  <si>
    <t>10k first aid</t>
  </si>
  <si>
    <t>10k catering</t>
  </si>
  <si>
    <t>10k SAL levy</t>
  </si>
  <si>
    <t>10k other costs</t>
  </si>
  <si>
    <t>CHR Hire of facilities (Laggan Pk)</t>
  </si>
  <si>
    <t>CHR SAL levy</t>
  </si>
  <si>
    <t>CHR catering</t>
  </si>
  <si>
    <t>CHR other</t>
  </si>
  <si>
    <t>Marathon costs</t>
  </si>
  <si>
    <t>Other race costs</t>
  </si>
  <si>
    <t>Clothing stock</t>
  </si>
  <si>
    <t>General admin and sec costs</t>
  </si>
  <si>
    <t>Member benefits</t>
  </si>
  <si>
    <t>Charitable donations</t>
  </si>
  <si>
    <t>Total expenditure</t>
  </si>
  <si>
    <t>Net surplus / deficit for the year</t>
  </si>
  <si>
    <t>2024 Annual Dinner income received 2023</t>
  </si>
  <si>
    <t>2025 Annual Dinner income recvd 2024</t>
  </si>
  <si>
    <t>2024 Marathon entries recvd 2023</t>
  </si>
  <si>
    <t>2025 Marathon entries recvd 2024</t>
  </si>
  <si>
    <t>2024 Memberships received 2023</t>
  </si>
  <si>
    <t>Opening balance</t>
  </si>
  <si>
    <t>Closing balance</t>
  </si>
  <si>
    <t>Check:</t>
  </si>
  <si>
    <t>Stock:</t>
  </si>
  <si>
    <t>Petty cash movement</t>
  </si>
  <si>
    <t>Cheques not cashed</t>
  </si>
  <si>
    <t>Unreconciled cash transactions</t>
  </si>
  <si>
    <t>Bank of Scotland Current Balance</t>
  </si>
  <si>
    <t>Bank of Scotland Savings Balance</t>
  </si>
  <si>
    <t>Entry Central Float</t>
  </si>
  <si>
    <t>PayPal Float</t>
  </si>
  <si>
    <t>Cash Float</t>
  </si>
  <si>
    <t>Total Floats</t>
  </si>
  <si>
    <t>Overall Balance</t>
  </si>
  <si>
    <t>Ben Chonzie Race</t>
  </si>
  <si>
    <t>Social income</t>
  </si>
  <si>
    <t>Notes to the Accounts</t>
  </si>
  <si>
    <t>31.12.2024</t>
  </si>
  <si>
    <t>31.12.2023</t>
  </si>
  <si>
    <t>31.12.2022</t>
  </si>
  <si>
    <t>31.12.2021</t>
  </si>
  <si>
    <t>Clothing Account</t>
  </si>
  <si>
    <t>Opening Stock</t>
  </si>
  <si>
    <t>Add purchases</t>
  </si>
  <si>
    <t>Less Sales</t>
  </si>
  <si>
    <t xml:space="preserve">        Awards XC champs</t>
  </si>
  <si>
    <t>Closing stock</t>
  </si>
  <si>
    <t>Net Clothing Costs</t>
  </si>
  <si>
    <t>SWCHR</t>
  </si>
  <si>
    <t>Entry Fees</t>
  </si>
  <si>
    <t>Other income</t>
  </si>
  <si>
    <t>Costs</t>
  </si>
  <si>
    <t>Strathearn Marathon</t>
  </si>
  <si>
    <t>add Fees received in 2023</t>
  </si>
  <si>
    <t>less fees deferred to 2025</t>
  </si>
  <si>
    <t>Net Marathon Income</t>
  </si>
  <si>
    <t>Costs from 2023</t>
  </si>
  <si>
    <t>Net Marathon Cost/surplus</t>
  </si>
  <si>
    <t>Junior race (net)</t>
  </si>
  <si>
    <t>Junior costs</t>
  </si>
  <si>
    <t>Travel</t>
  </si>
  <si>
    <t>Race entries</t>
  </si>
  <si>
    <t>Events</t>
  </si>
  <si>
    <t>Coach courses</t>
  </si>
  <si>
    <t>Facility hire</t>
  </si>
  <si>
    <t>other</t>
  </si>
  <si>
    <t>Social</t>
  </si>
  <si>
    <t>Annual dinner income</t>
  </si>
  <si>
    <t>add income received in 2023</t>
  </si>
  <si>
    <t>less income received for 2025</t>
  </si>
  <si>
    <t>Net 2024 dinner income</t>
  </si>
  <si>
    <t>Annual dinner costs</t>
  </si>
  <si>
    <t>Costs related to 2025</t>
  </si>
  <si>
    <t>Net 2024 dinner costs</t>
  </si>
  <si>
    <t>Annual dinner loss/surplus</t>
  </si>
  <si>
    <t>Other social income</t>
  </si>
  <si>
    <t>less income for 2025 events</t>
  </si>
  <si>
    <t>Badaguish</t>
  </si>
  <si>
    <t>Other social costs</t>
  </si>
  <si>
    <t>less costs for 2025 events</t>
  </si>
  <si>
    <t>add costs paid in 2023</t>
  </si>
  <si>
    <t>Other social loss/surplus</t>
  </si>
  <si>
    <t>General</t>
  </si>
  <si>
    <t>Equipment</t>
  </si>
  <si>
    <t>Urns, flags etc</t>
  </si>
  <si>
    <t>Coaching/Training</t>
  </si>
  <si>
    <t>Disability/course/laggan Pk</t>
  </si>
  <si>
    <t>IT</t>
  </si>
  <si>
    <t>Domain/membermojo etc</t>
  </si>
  <si>
    <t>Other</t>
  </si>
  <si>
    <t>Hoodies/AGM/Engraving</t>
  </si>
  <si>
    <t>Payment to NHS endowment trust</t>
  </si>
  <si>
    <t>Payment to Tayside Mountain Rescue</t>
  </si>
  <si>
    <t>Payment to S.H.I.P.</t>
  </si>
  <si>
    <t>Bank &amp; Cash on Hand</t>
  </si>
  <si>
    <t>Balance at Bank (current)</t>
  </si>
  <si>
    <t>Balance at Bank (savings)</t>
  </si>
  <si>
    <t>Floats -Paypal &amp; Central Entry</t>
  </si>
  <si>
    <t>Cash on hand</t>
  </si>
  <si>
    <t>Difference 2023-2024</t>
  </si>
  <si>
    <t xml:space="preserve">Balance Sheet </t>
  </si>
  <si>
    <t>as at December 31st 2024</t>
  </si>
  <si>
    <t>Note</t>
  </si>
  <si>
    <t>December 31st 2024</t>
  </si>
  <si>
    <t>December 31st 2023</t>
  </si>
  <si>
    <t>December 31st 2022</t>
  </si>
  <si>
    <t>December 31st 2021</t>
  </si>
  <si>
    <t>Current Assets</t>
  </si>
  <si>
    <t>Stock on Hand</t>
  </si>
  <si>
    <t>Bank &amp; cash on hand</t>
  </si>
  <si>
    <t>Less amounts applicable to prior/next 12 months</t>
  </si>
  <si>
    <t>Marathon Fees paid in current year for next year's event</t>
  </si>
  <si>
    <t>Annual Dinner Payments for next year paid in current</t>
  </si>
  <si>
    <t>Costs for next year social event paid in current</t>
  </si>
  <si>
    <t>Membership fees paid in current year applicable to next year</t>
  </si>
  <si>
    <t>now rolling year</t>
  </si>
  <si>
    <t>Represented by :</t>
  </si>
  <si>
    <t>Balance brought forward from 2023</t>
  </si>
  <si>
    <t>Surplus for 2024 per SOFA</t>
  </si>
  <si>
    <t>Net Funds on Hand as at December 31st 2023</t>
  </si>
  <si>
    <t>Uncertified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</si>
</sst>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;\-#,##0.00\ "/>
    <numFmt numFmtId="165" formatCode="#,##0\ ;\-#,##0\ "/>
    <numFmt numFmtId="166" formatCode="#,##0.00_ ;\-#,##0.00\ "/>
  </numFmts>
  <fonts count="13" x14ac:knownFonts="1">
    <font>
      <sz val="10"/>
      <name val="Arial"/>
    </font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323233"/>
      <name val="Arial"/>
      <family val="2"/>
    </font>
    <font>
      <b/>
      <sz val="10"/>
      <color rgb="FF323233"/>
      <name val="Arial"/>
      <family val="2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8BF21"/>
      </left>
      <right style="medium">
        <color rgb="FF98BF21"/>
      </right>
      <top style="medium">
        <color rgb="FF98BF21"/>
      </top>
      <bottom style="medium">
        <color rgb="FF98BF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quotePrefix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2" applyFont="1"/>
    <xf numFmtId="43" fontId="3" fillId="0" borderId="0" xfId="1" applyFont="1"/>
    <xf numFmtId="43" fontId="3" fillId="0" borderId="0" xfId="0" applyNumberFormat="1" applyFont="1"/>
    <xf numFmtId="43" fontId="3" fillId="0" borderId="1" xfId="2" applyFont="1" applyBorder="1"/>
    <xf numFmtId="43" fontId="3" fillId="0" borderId="0" xfId="2" applyFont="1" applyBorder="1"/>
    <xf numFmtId="43" fontId="3" fillId="0" borderId="2" xfId="2" applyFont="1" applyBorder="1"/>
    <xf numFmtId="43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43" fontId="3" fillId="0" borderId="3" xfId="2" applyFont="1" applyBorder="1"/>
    <xf numFmtId="0" fontId="3" fillId="0" borderId="0" xfId="0" applyFont="1" applyAlignment="1">
      <alignment horizontal="right"/>
    </xf>
    <xf numFmtId="164" fontId="5" fillId="0" borderId="0" xfId="0" applyNumberFormat="1" applyFont="1"/>
    <xf numFmtId="164" fontId="0" fillId="0" borderId="0" xfId="0" applyNumberFormat="1"/>
    <xf numFmtId="164" fontId="6" fillId="0" borderId="0" xfId="0" applyNumberFormat="1" applyFont="1"/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165" fontId="0" fillId="0" borderId="0" xfId="0" applyNumberFormat="1"/>
    <xf numFmtId="0" fontId="7" fillId="0" borderId="6" xfId="0" applyFont="1" applyBorder="1" applyAlignment="1">
      <alignment horizontal="right" vertical="center" wrapText="1"/>
    </xf>
    <xf numFmtId="164" fontId="4" fillId="0" borderId="0" xfId="0" applyNumberFormat="1" applyFont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0" fontId="8" fillId="0" borderId="10" xfId="0" applyFont="1" applyBorder="1" applyAlignment="1">
      <alignment vertical="center" wrapText="1"/>
    </xf>
    <xf numFmtId="166" fontId="0" fillId="0" borderId="0" xfId="0" applyNumberFormat="1"/>
    <xf numFmtId="164" fontId="4" fillId="0" borderId="11" xfId="0" applyNumberFormat="1" applyFont="1" applyBorder="1"/>
    <xf numFmtId="164" fontId="0" fillId="0" borderId="12" xfId="0" applyNumberFormat="1" applyBorder="1"/>
    <xf numFmtId="164" fontId="4" fillId="0" borderId="13" xfId="0" applyNumberFormat="1" applyFont="1" applyBorder="1"/>
    <xf numFmtId="164" fontId="5" fillId="2" borderId="14" xfId="0" applyNumberFormat="1" applyFont="1" applyFill="1" applyBorder="1"/>
    <xf numFmtId="164" fontId="4" fillId="2" borderId="15" xfId="0" applyNumberFormat="1" applyFont="1" applyFill="1" applyBorder="1"/>
    <xf numFmtId="164" fontId="5" fillId="0" borderId="7" xfId="0" applyNumberFormat="1" applyFont="1" applyBorder="1"/>
    <xf numFmtId="164" fontId="0" fillId="0" borderId="11" xfId="0" applyNumberFormat="1" applyBorder="1"/>
    <xf numFmtId="164" fontId="0" fillId="0" borderId="13" xfId="0" applyNumberFormat="1" applyBorder="1"/>
    <xf numFmtId="164" fontId="5" fillId="2" borderId="15" xfId="0" applyNumberFormat="1" applyFont="1" applyFill="1" applyBorder="1"/>
    <xf numFmtId="164" fontId="4" fillId="0" borderId="0" xfId="0" applyNumberFormat="1" applyFont="1" applyAlignment="1">
      <alignment horizontal="right"/>
    </xf>
    <xf numFmtId="1" fontId="0" fillId="0" borderId="0" xfId="0" applyNumberForma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5" fillId="3" borderId="0" xfId="0" applyNumberFormat="1" applyFont="1" applyFill="1"/>
    <xf numFmtId="164" fontId="0" fillId="3" borderId="0" xfId="0" applyNumberFormat="1" applyFill="1"/>
    <xf numFmtId="165" fontId="0" fillId="3" borderId="0" xfId="0" applyNumberFormat="1" applyFill="1"/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/>
    <xf numFmtId="164" fontId="5" fillId="4" borderId="4" xfId="0" applyNumberFormat="1" applyFont="1" applyFill="1" applyBorder="1"/>
    <xf numFmtId="164" fontId="5" fillId="4" borderId="16" xfId="0" applyNumberFormat="1" applyFont="1" applyFill="1" applyBorder="1"/>
    <xf numFmtId="164" fontId="5" fillId="4" borderId="5" xfId="0" applyNumberFormat="1" applyFont="1" applyFill="1" applyBorder="1"/>
    <xf numFmtId="166" fontId="9" fillId="0" borderId="0" xfId="0" applyNumberFormat="1" applyFont="1"/>
    <xf numFmtId="4" fontId="10" fillId="0" borderId="0" xfId="0" applyNumberFormat="1" applyFont="1"/>
    <xf numFmtId="164" fontId="5" fillId="5" borderId="4" xfId="0" applyNumberFormat="1" applyFont="1" applyFill="1" applyBorder="1"/>
    <xf numFmtId="164" fontId="5" fillId="5" borderId="16" xfId="0" applyNumberFormat="1" applyFont="1" applyFill="1" applyBorder="1"/>
    <xf numFmtId="4" fontId="11" fillId="5" borderId="5" xfId="0" applyNumberFormat="1" applyFont="1" applyFill="1" applyBorder="1"/>
    <xf numFmtId="164" fontId="5" fillId="2" borderId="16" xfId="0" applyNumberFormat="1" applyFont="1" applyFill="1" applyBorder="1"/>
    <xf numFmtId="2" fontId="3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7" xfId="0" applyNumberFormat="1" applyFont="1" applyBorder="1"/>
    <xf numFmtId="43" fontId="3" fillId="0" borderId="17" xfId="1" applyFont="1" applyBorder="1"/>
    <xf numFmtId="2" fontId="3" fillId="0" borderId="0" xfId="0" applyNumberFormat="1" applyFont="1"/>
    <xf numFmtId="0" fontId="3" fillId="0" borderId="17" xfId="0" applyFont="1" applyBorder="1"/>
    <xf numFmtId="2" fontId="3" fillId="0" borderId="17" xfId="0" applyNumberFormat="1" applyFont="1" applyBorder="1"/>
    <xf numFmtId="4" fontId="3" fillId="0" borderId="0" xfId="0" applyNumberFormat="1" applyFont="1"/>
    <xf numFmtId="43" fontId="3" fillId="0" borderId="17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quotePrefix="1" applyNumberFormat="1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64" fontId="3" fillId="0" borderId="3" xfId="0" applyNumberFormat="1" applyFont="1" applyBorder="1"/>
  </cellXfs>
  <cellStyles count="3">
    <cellStyle name="Comma" xfId="1" builtinId="3"/>
    <cellStyle name="Comma 2" xfId="2" xr:uid="{60158579-C6EA-4CF9-A7A9-821CF31B80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6be5d5d1c48d3ed/Documents/Strathearn%20Harriers/Finance/2022%20Accounts/Strathearn%20Harriers%20accounts%20YE%202023.xls" TargetMode="External"/><Relationship Id="rId1" Type="http://schemas.openxmlformats.org/officeDocument/2006/relationships/externalLinkPath" Target="/16be5d5d1c48d3ed/Documents/Strathearn%20Harriers/Finance/2022%20Accounts/Strathearn%20Harriers%20accounts%20Y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6be5d5d1c48d3ed/Documents/Strathearn%20Harriers/Finance/2024%20Accounts/Notes%202024.xlsx" TargetMode="External"/><Relationship Id="rId1" Type="http://schemas.openxmlformats.org/officeDocument/2006/relationships/externalLinkPath" Target="Notes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6be5d5d1c48d3ed/Documents/Strathearn%20Harriers/Finance/2023%20Accounts/Strathearn%20Harriers%20accounts%20YE%202023.xls" TargetMode="External"/><Relationship Id="rId1" Type="http://schemas.openxmlformats.org/officeDocument/2006/relationships/externalLinkPath" Target="Strathearn%20Harriers%20accounts%20YE%20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6be5d5d1c48d3ed/Documents/Strathearn%20Harriers/Finance/Strathearn%20accounts%202024.xls" TargetMode="External"/><Relationship Id="rId1" Type="http://schemas.openxmlformats.org/officeDocument/2006/relationships/externalLinkPath" Target="/16be5d5d1c48d3ed/Documents/Strathearn%20Harriers/Finance/Strathearn%20accounts%20202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6be5d5d1c48d3ed/Documents/Strathearn%20Harriers/Finance/2023%20Accounts/Strathearn%20Harriers%20accounts%20YE%202023.xls" TargetMode="External"/><Relationship Id="rId1" Type="http://schemas.openxmlformats.org/officeDocument/2006/relationships/externalLinkPath" Target="/16be5d5d1c48d3ed/Documents/Strathearn%20Harriers/Finance/2023%20Accounts/Strathearn%20Harriers%20accounts%20Y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13"/>
      <sheetName val="2112"/>
      <sheetName val="2110"/>
      <sheetName val="2020"/>
      <sheetName val="Trial Balance 2021"/>
      <sheetName val=" Journal 2021"/>
      <sheetName val="Petty Cash 2023"/>
      <sheetName val="TB 2023"/>
      <sheetName val="Notes 2023"/>
      <sheetName val="SOFA 2023"/>
      <sheetName val="Balance Sht 2023"/>
      <sheetName val="Petty cash 2022"/>
      <sheetName val="Notes 2022"/>
      <sheetName val="TB 2022"/>
      <sheetName val="SOFA 2022"/>
      <sheetName val="Balance Sht 2022"/>
      <sheetName val="Balance sheet 2021"/>
      <sheetName val="SOFA 2021"/>
      <sheetName val="graph"/>
      <sheetName val="Sheet1"/>
      <sheetName val="Notes 2021"/>
      <sheetName val="Marathon Refund"/>
      <sheetName val="Cash Float  Petty Cash"/>
      <sheetName val="Stock"/>
      <sheetName val="Sheet4"/>
      <sheetName val="Sheet5"/>
      <sheetName val="accountsye311221 "/>
      <sheetName val="Jan-Mar 2020 Love Admin report"/>
      <sheetName val="accounts juniors 2012"/>
      <sheetName val="accountsye311208"/>
      <sheetName val="accountsye311209"/>
      <sheetName val="accountsye311210"/>
      <sheetName val="accountsye311212"/>
      <sheetName val="accountsye311213"/>
      <sheetName val="rec310110"/>
      <sheetName val="rec280210"/>
      <sheetName val="rec310310"/>
      <sheetName val="rec300410"/>
      <sheetName val="rec310510"/>
      <sheetName val="rec300610"/>
      <sheetName val="rec190710 "/>
      <sheetName val="rec150810"/>
      <sheetName val="rec170910"/>
      <sheetName val="rec171010"/>
      <sheetName val="rec230711"/>
      <sheetName val="rec240811"/>
      <sheetName val="rec261011"/>
      <sheetName val="rec251111"/>
      <sheetName val="rec231211"/>
      <sheetName val="rec300112"/>
      <sheetName val="rec250212"/>
      <sheetName val="rec190312"/>
      <sheetName val="rec190412"/>
      <sheetName val="rec250512"/>
      <sheetName val="rec270612"/>
      <sheetName val="rec310712"/>
      <sheetName val="rec2909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3">
          <cell r="D23">
            <v>370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J6">
            <v>0</v>
          </cell>
        </row>
        <row r="10">
          <cell r="J10">
            <v>-3283.9500000000003</v>
          </cell>
        </row>
        <row r="11">
          <cell r="J11">
            <v>-4484.96</v>
          </cell>
        </row>
        <row r="12">
          <cell r="J12">
            <v>-768</v>
          </cell>
        </row>
        <row r="13">
          <cell r="J13">
            <v>-5757.58</v>
          </cell>
        </row>
        <row r="17">
          <cell r="J17">
            <v>-512</v>
          </cell>
        </row>
        <row r="18">
          <cell r="J18">
            <v>1205</v>
          </cell>
        </row>
        <row r="20">
          <cell r="J20">
            <v>475</v>
          </cell>
        </row>
        <row r="21">
          <cell r="J21">
            <v>50</v>
          </cell>
        </row>
        <row r="22">
          <cell r="J22">
            <v>3024.05</v>
          </cell>
        </row>
        <row r="23">
          <cell r="J23">
            <v>786.51</v>
          </cell>
        </row>
        <row r="24">
          <cell r="J24">
            <v>3353.52</v>
          </cell>
        </row>
        <row r="25">
          <cell r="J25">
            <v>999</v>
          </cell>
        </row>
        <row r="26">
          <cell r="J26">
            <v>1624.77</v>
          </cell>
        </row>
        <row r="27">
          <cell r="J27">
            <v>728.52</v>
          </cell>
        </row>
        <row r="28">
          <cell r="J28">
            <v>3043.05</v>
          </cell>
        </row>
        <row r="29">
          <cell r="J29">
            <v>580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 2024"/>
    </sheetNames>
    <sheetDataSet>
      <sheetData sheetId="0">
        <row r="8">
          <cell r="D8">
            <v>1329.8</v>
          </cell>
        </row>
        <row r="10">
          <cell r="D10">
            <v>644</v>
          </cell>
        </row>
        <row r="60">
          <cell r="D60">
            <v>656.5</v>
          </cell>
        </row>
        <row r="64">
          <cell r="D64">
            <v>1733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13"/>
      <sheetName val="2112"/>
      <sheetName val="2110"/>
      <sheetName val="2020"/>
      <sheetName val="Trial Balance 2021"/>
      <sheetName val=" Journal 2021"/>
      <sheetName val="Petty Cash 2023"/>
      <sheetName val="TB 2023"/>
      <sheetName val="Notes 2023"/>
      <sheetName val="SOFA 2023"/>
      <sheetName val="Balance Sht 2023"/>
      <sheetName val="Petty cash 2022"/>
      <sheetName val="Notes 2022"/>
      <sheetName val="TB 2022"/>
      <sheetName val="SOFA 2022"/>
      <sheetName val="Balance Sht 2022"/>
      <sheetName val="Balance sheet 2021"/>
      <sheetName val="SOFA 2021"/>
      <sheetName val="graph"/>
      <sheetName val="Sheet1"/>
      <sheetName val="Notes 2021"/>
      <sheetName val="Marathon Refund"/>
      <sheetName val="Cash Float  Petty Cash"/>
      <sheetName val="Stock"/>
      <sheetName val="Sheet4"/>
      <sheetName val="Sheet5"/>
      <sheetName val="accountsye311221 "/>
      <sheetName val="Jan-Mar 2020 Love Admin report"/>
      <sheetName val="accounts juniors 2012"/>
      <sheetName val="accountsye311208"/>
      <sheetName val="accountsye311209"/>
      <sheetName val="accountsye311210"/>
      <sheetName val="accountsye311212"/>
      <sheetName val="accountsye311213"/>
      <sheetName val="rec310110"/>
      <sheetName val="rec280210"/>
      <sheetName val="rec310310"/>
      <sheetName val="rec300410"/>
      <sheetName val="rec310510"/>
      <sheetName val="rec300610"/>
      <sheetName val="rec190710 "/>
      <sheetName val="rec150810"/>
      <sheetName val="rec170910"/>
      <sheetName val="rec171010"/>
      <sheetName val="rec230711"/>
      <sheetName val="rec240811"/>
      <sheetName val="rec261011"/>
      <sheetName val="rec251111"/>
      <sheetName val="rec231211"/>
      <sheetName val="rec300112"/>
      <sheetName val="rec250212"/>
      <sheetName val="rec190312"/>
      <sheetName val="rec190412"/>
      <sheetName val="rec250512"/>
      <sheetName val="rec270612"/>
      <sheetName val="rec310712"/>
      <sheetName val="rec2909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1610</v>
          </cell>
          <cell r="J5">
            <v>14833.88</v>
          </cell>
        </row>
      </sheetData>
      <sheetData sheetId="8">
        <row r="12">
          <cell r="D12">
            <v>935.34999999999991</v>
          </cell>
        </row>
      </sheetData>
      <sheetData sheetId="9">
        <row r="34">
          <cell r="F34">
            <v>-53.790000000001328</v>
          </cell>
        </row>
      </sheetData>
      <sheetData sheetId="10"/>
      <sheetData sheetId="11"/>
      <sheetData sheetId="12"/>
      <sheetData sheetId="13">
        <row r="5">
          <cell r="J5">
            <v>13121.42</v>
          </cell>
        </row>
      </sheetData>
      <sheetData sheetId="14">
        <row r="34">
          <cell r="F34">
            <v>-1062.9299999999994</v>
          </cell>
          <cell r="I34">
            <v>2013.0200000000002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"/>
      <sheetName val="overall detail"/>
      <sheetName val="accountsye311224"/>
      <sheetName val="accountsye311223 "/>
      <sheetName val="Junior Budget 2024"/>
      <sheetName val="Ceilidh 2025"/>
      <sheetName val="Race entry fees"/>
      <sheetName val="Marathon Refund"/>
      <sheetName val="Cash Float  Petty Cash"/>
      <sheetName val="Stock"/>
      <sheetName val="SOFA 2021"/>
      <sheetName val="Balance Sheet 2021"/>
      <sheetName val="Notes 2021"/>
      <sheetName val="accountsye311220"/>
      <sheetName val="Jan-Mar 2020 Love Admin report"/>
      <sheetName val="accountsye311211"/>
      <sheetName val="juniors detail"/>
      <sheetName val="accounts juniors 2011"/>
      <sheetName val="accounts juniors 2012"/>
      <sheetName val="accountsye311208"/>
      <sheetName val="accountsye311209"/>
      <sheetName val="accountsye311210"/>
      <sheetName val="accountsye311212"/>
      <sheetName val="accountsye311213"/>
      <sheetName val="rec310110"/>
      <sheetName val="rec280210"/>
      <sheetName val="rec310310"/>
      <sheetName val="rec300410"/>
      <sheetName val="rec310510"/>
      <sheetName val="rec300610"/>
      <sheetName val="rec190710 "/>
      <sheetName val="rec150810"/>
      <sheetName val="rec170910"/>
      <sheetName val="rec171010"/>
      <sheetName val="rec230711"/>
      <sheetName val="rec240811"/>
      <sheetName val="rec261011"/>
      <sheetName val="rec251111"/>
      <sheetName val="rec231211"/>
      <sheetName val="rec300112"/>
      <sheetName val="rec250212"/>
      <sheetName val="rec190312"/>
      <sheetName val="rec190412"/>
      <sheetName val="rec250512"/>
      <sheetName val="rec270612"/>
      <sheetName val="rec310712"/>
      <sheetName val="rec290912"/>
      <sheetName val="Sheet3"/>
    </sheetNames>
    <sheetDataSet>
      <sheetData sheetId="0"/>
      <sheetData sheetId="1">
        <row r="362">
          <cell r="F362">
            <v>-7.32</v>
          </cell>
        </row>
        <row r="369">
          <cell r="F369">
            <v>-13.7</v>
          </cell>
        </row>
        <row r="503">
          <cell r="F503">
            <v>-20</v>
          </cell>
        </row>
        <row r="540">
          <cell r="F540">
            <v>-25</v>
          </cell>
        </row>
        <row r="1171">
          <cell r="AD1171">
            <v>350</v>
          </cell>
        </row>
        <row r="1272">
          <cell r="H1272">
            <v>14833.880000000003</v>
          </cell>
          <cell r="BE1272">
            <v>70</v>
          </cell>
        </row>
        <row r="1273">
          <cell r="BD1273">
            <v>210</v>
          </cell>
        </row>
        <row r="1274">
          <cell r="AP1274">
            <v>70</v>
          </cell>
        </row>
        <row r="1275">
          <cell r="BA1275">
            <v>140.16</v>
          </cell>
        </row>
        <row r="1276">
          <cell r="AP1276">
            <v>188.24</v>
          </cell>
        </row>
        <row r="1277">
          <cell r="AP1277">
            <v>141.6</v>
          </cell>
        </row>
        <row r="1278">
          <cell r="AP1278">
            <v>37.6</v>
          </cell>
        </row>
        <row r="1279">
          <cell r="BG1279">
            <v>116</v>
          </cell>
        </row>
        <row r="1280">
          <cell r="BA1280">
            <v>426.24</v>
          </cell>
        </row>
        <row r="1281">
          <cell r="AP1281">
            <v>150.88</v>
          </cell>
        </row>
        <row r="1282">
          <cell r="AP1282">
            <v>60</v>
          </cell>
        </row>
        <row r="1283">
          <cell r="BD1283">
            <v>210</v>
          </cell>
        </row>
        <row r="1284">
          <cell r="AF1284">
            <v>210</v>
          </cell>
        </row>
        <row r="1285">
          <cell r="AP1285">
            <v>75.2</v>
          </cell>
        </row>
        <row r="1286">
          <cell r="AP1286">
            <v>18.8</v>
          </cell>
        </row>
        <row r="1287">
          <cell r="AP1287">
            <v>56.4</v>
          </cell>
        </row>
        <row r="1288">
          <cell r="BD1288">
            <v>-35</v>
          </cell>
        </row>
        <row r="1289">
          <cell r="AR1289">
            <v>17.5</v>
          </cell>
        </row>
        <row r="1290">
          <cell r="AP1290">
            <v>18.8</v>
          </cell>
        </row>
        <row r="1291">
          <cell r="AJ1291">
            <v>750.99</v>
          </cell>
        </row>
        <row r="1292">
          <cell r="BF1292">
            <v>605</v>
          </cell>
        </row>
        <row r="1293">
          <cell r="AG1293">
            <v>500</v>
          </cell>
        </row>
        <row r="1294">
          <cell r="AG1294">
            <v>214</v>
          </cell>
        </row>
        <row r="1295">
          <cell r="AG1295">
            <v>43.92</v>
          </cell>
        </row>
        <row r="1296">
          <cell r="BA1296">
            <v>197.76</v>
          </cell>
        </row>
        <row r="1297">
          <cell r="AR1297">
            <v>19.5</v>
          </cell>
        </row>
        <row r="1298">
          <cell r="BG1298">
            <v>116</v>
          </cell>
        </row>
        <row r="1299">
          <cell r="AG1299">
            <v>32</v>
          </cell>
        </row>
        <row r="1300">
          <cell r="BG1300">
            <v>50</v>
          </cell>
        </row>
        <row r="1301">
          <cell r="AG1301">
            <v>1596</v>
          </cell>
        </row>
        <row r="1302">
          <cell r="AP1302">
            <v>20</v>
          </cell>
        </row>
        <row r="1303">
          <cell r="BG1303">
            <v>80</v>
          </cell>
        </row>
        <row r="1304">
          <cell r="AP1304">
            <v>46.88</v>
          </cell>
        </row>
        <row r="1305">
          <cell r="AP1305">
            <v>85.2</v>
          </cell>
        </row>
        <row r="1306">
          <cell r="BG1306">
            <v>72</v>
          </cell>
        </row>
        <row r="1307">
          <cell r="AP1307">
            <v>46.88</v>
          </cell>
        </row>
        <row r="1308">
          <cell r="AP1308">
            <v>18.8</v>
          </cell>
        </row>
        <row r="1309">
          <cell r="BA1309">
            <v>403.2</v>
          </cell>
        </row>
        <row r="1310">
          <cell r="AK1310">
            <v>86</v>
          </cell>
        </row>
        <row r="1311">
          <cell r="AP1311">
            <v>40</v>
          </cell>
        </row>
        <row r="1312">
          <cell r="AP1312">
            <v>37.6</v>
          </cell>
        </row>
        <row r="1313">
          <cell r="AP1313">
            <v>100</v>
          </cell>
        </row>
        <row r="1314">
          <cell r="AK1314">
            <v>215</v>
          </cell>
        </row>
        <row r="1315">
          <cell r="AR1315">
            <v>17.5</v>
          </cell>
        </row>
        <row r="1316">
          <cell r="BA1316">
            <v>282.24</v>
          </cell>
        </row>
        <row r="1317">
          <cell r="AR1317">
            <v>19.5</v>
          </cell>
        </row>
        <row r="1318">
          <cell r="AP1318">
            <v>20</v>
          </cell>
        </row>
        <row r="1319">
          <cell r="AP1319">
            <v>37.6</v>
          </cell>
        </row>
        <row r="1320">
          <cell r="AP1320">
            <v>1171.3</v>
          </cell>
        </row>
        <row r="1321">
          <cell r="BD1321">
            <v>-70</v>
          </cell>
        </row>
        <row r="1322">
          <cell r="AP1322">
            <v>40</v>
          </cell>
        </row>
        <row r="1323">
          <cell r="AP1323">
            <v>37.6</v>
          </cell>
        </row>
        <row r="1324">
          <cell r="BG1324">
            <v>111.5</v>
          </cell>
        </row>
        <row r="1325">
          <cell r="AP1325">
            <v>37.6</v>
          </cell>
        </row>
        <row r="1326">
          <cell r="AP1326">
            <v>56.4</v>
          </cell>
        </row>
        <row r="1327">
          <cell r="BA1327">
            <v>84.48</v>
          </cell>
        </row>
        <row r="1328">
          <cell r="AP1328">
            <v>40</v>
          </cell>
        </row>
        <row r="1329">
          <cell r="AF1329">
            <v>98.5</v>
          </cell>
        </row>
        <row r="1330">
          <cell r="AP1330">
            <v>37.36</v>
          </cell>
        </row>
        <row r="1331">
          <cell r="AP1331">
            <v>37.6</v>
          </cell>
        </row>
        <row r="1332">
          <cell r="AP1332">
            <v>60</v>
          </cell>
        </row>
        <row r="1333">
          <cell r="AL1333">
            <v>215</v>
          </cell>
        </row>
        <row r="1334">
          <cell r="BA1334">
            <v>228.48</v>
          </cell>
        </row>
        <row r="1335">
          <cell r="AP1335">
            <v>20</v>
          </cell>
        </row>
        <row r="1336">
          <cell r="AP1336">
            <v>37.6</v>
          </cell>
        </row>
        <row r="1337">
          <cell r="AD1337">
            <v>818.45</v>
          </cell>
        </row>
        <row r="1338">
          <cell r="BG1338">
            <v>50</v>
          </cell>
        </row>
        <row r="1339">
          <cell r="AP1339">
            <v>18.8</v>
          </cell>
        </row>
        <row r="1340">
          <cell r="AP1340">
            <v>85.2</v>
          </cell>
        </row>
        <row r="1341">
          <cell r="BA1341">
            <v>170.88</v>
          </cell>
        </row>
        <row r="1342">
          <cell r="AL1342">
            <v>86.22</v>
          </cell>
        </row>
        <row r="1343">
          <cell r="AK1343">
            <v>47.5</v>
          </cell>
        </row>
        <row r="1344">
          <cell r="BA1344">
            <v>86.4</v>
          </cell>
        </row>
        <row r="1345">
          <cell r="AJ1345">
            <v>48</v>
          </cell>
        </row>
        <row r="1346">
          <cell r="AL1346">
            <v>50</v>
          </cell>
        </row>
        <row r="1347">
          <cell r="AL1347">
            <v>64.150000000000006</v>
          </cell>
        </row>
        <row r="1348">
          <cell r="AL1348">
            <v>-54</v>
          </cell>
        </row>
        <row r="1349">
          <cell r="AP1349">
            <v>93.8</v>
          </cell>
        </row>
        <row r="1350">
          <cell r="AL1350">
            <v>150</v>
          </cell>
        </row>
        <row r="1351">
          <cell r="BA1351">
            <v>142.08000000000001</v>
          </cell>
        </row>
        <row r="1352">
          <cell r="AP1352">
            <v>18.8</v>
          </cell>
        </row>
        <row r="1353">
          <cell r="AL1353">
            <v>-13</v>
          </cell>
        </row>
        <row r="1354">
          <cell r="BA1354">
            <v>309.12</v>
          </cell>
        </row>
        <row r="1355">
          <cell r="AK1355">
            <v>50</v>
          </cell>
        </row>
        <row r="1356">
          <cell r="AL1356">
            <v>193.89</v>
          </cell>
        </row>
        <row r="1357">
          <cell r="AL1357">
            <v>14.3</v>
          </cell>
        </row>
        <row r="1358">
          <cell r="AL1358">
            <v>70.2</v>
          </cell>
        </row>
        <row r="1359">
          <cell r="AG1359">
            <v>114.5</v>
          </cell>
        </row>
        <row r="1360">
          <cell r="BA1360">
            <v>111.58</v>
          </cell>
        </row>
        <row r="1361">
          <cell r="AL1361">
            <v>87.9</v>
          </cell>
        </row>
        <row r="1362">
          <cell r="AP1362">
            <v>56.1</v>
          </cell>
        </row>
        <row r="1363">
          <cell r="AK1363">
            <v>68.98</v>
          </cell>
        </row>
        <row r="1364">
          <cell r="AR1364">
            <v>42</v>
          </cell>
        </row>
        <row r="1365">
          <cell r="AV1365">
            <v>165.44</v>
          </cell>
          <cell r="BA1365">
            <v>1017.28</v>
          </cell>
        </row>
        <row r="1366">
          <cell r="AL1366">
            <v>-50</v>
          </cell>
        </row>
        <row r="1367">
          <cell r="AV1367">
            <v>320.64</v>
          </cell>
          <cell r="BA1367">
            <v>168.96</v>
          </cell>
        </row>
        <row r="1368">
          <cell r="BG1368">
            <v>598.25</v>
          </cell>
        </row>
        <row r="1369">
          <cell r="BG1369">
            <v>1018.5</v>
          </cell>
        </row>
        <row r="1370">
          <cell r="AV1370">
            <v>100</v>
          </cell>
          <cell r="BA1370">
            <v>360.8</v>
          </cell>
        </row>
        <row r="1371">
          <cell r="AL1371">
            <v>49</v>
          </cell>
        </row>
        <row r="1372">
          <cell r="BG1372">
            <v>116</v>
          </cell>
        </row>
        <row r="1373">
          <cell r="AL1373">
            <v>-8.5</v>
          </cell>
        </row>
        <row r="1374">
          <cell r="AJ1374">
            <v>320</v>
          </cell>
        </row>
        <row r="1375">
          <cell r="AD1375">
            <v>257.86</v>
          </cell>
        </row>
        <row r="1376">
          <cell r="AK1376">
            <v>95</v>
          </cell>
        </row>
        <row r="1377">
          <cell r="BG1377">
            <v>405.25</v>
          </cell>
        </row>
        <row r="1378">
          <cell r="AV1378">
            <v>271.8</v>
          </cell>
          <cell r="BA1378">
            <v>100</v>
          </cell>
        </row>
        <row r="1379">
          <cell r="BG1379">
            <v>124</v>
          </cell>
        </row>
        <row r="1380">
          <cell r="AJ1380">
            <v>1501</v>
          </cell>
        </row>
        <row r="1381">
          <cell r="BG1381">
            <v>624.5</v>
          </cell>
        </row>
        <row r="1382">
          <cell r="AV1382">
            <v>265.02</v>
          </cell>
          <cell r="BA1382">
            <v>100</v>
          </cell>
        </row>
        <row r="1383">
          <cell r="BG1383">
            <v>36</v>
          </cell>
        </row>
        <row r="1384">
          <cell r="AD1384">
            <v>49.01</v>
          </cell>
        </row>
        <row r="1385">
          <cell r="AD1385">
            <v>42.46</v>
          </cell>
        </row>
        <row r="1386">
          <cell r="AJ1386">
            <v>15.1</v>
          </cell>
        </row>
        <row r="1387">
          <cell r="BG1387">
            <v>54</v>
          </cell>
        </row>
        <row r="1388">
          <cell r="AJ1388">
            <v>508</v>
          </cell>
        </row>
        <row r="1389">
          <cell r="AV1389">
            <v>290.18</v>
          </cell>
          <cell r="BA1389">
            <v>333.82</v>
          </cell>
        </row>
        <row r="1390">
          <cell r="AD1390">
            <v>44.76</v>
          </cell>
        </row>
        <row r="1391">
          <cell r="AV1391">
            <v>504.64</v>
          </cell>
          <cell r="BA1391">
            <v>200</v>
          </cell>
        </row>
        <row r="1392">
          <cell r="AD1392">
            <v>127.35</v>
          </cell>
        </row>
        <row r="1393">
          <cell r="BK1393">
            <v>220</v>
          </cell>
        </row>
        <row r="1394">
          <cell r="AZ1394">
            <v>150</v>
          </cell>
        </row>
        <row r="1395">
          <cell r="AZ1395">
            <v>300</v>
          </cell>
        </row>
        <row r="1396">
          <cell r="AL1396">
            <v>100.33</v>
          </cell>
        </row>
        <row r="1397">
          <cell r="AJ1397">
            <v>12.81</v>
          </cell>
        </row>
        <row r="1398">
          <cell r="AV1398">
            <v>251.82</v>
          </cell>
          <cell r="BA1398">
            <v>200</v>
          </cell>
        </row>
        <row r="1399">
          <cell r="AL1399">
            <v>-14</v>
          </cell>
        </row>
        <row r="1400">
          <cell r="AL1400">
            <v>17.600000000000001</v>
          </cell>
        </row>
        <row r="1401">
          <cell r="X1401">
            <v>1389.6</v>
          </cell>
        </row>
        <row r="1402">
          <cell r="AK1402">
            <v>15</v>
          </cell>
        </row>
        <row r="1403">
          <cell r="BK1403">
            <v>20</v>
          </cell>
        </row>
        <row r="1404">
          <cell r="AD1404">
            <v>18.399999999999999</v>
          </cell>
        </row>
        <row r="1405">
          <cell r="BK1405">
            <v>60</v>
          </cell>
        </row>
        <row r="1406">
          <cell r="AD1406">
            <v>50</v>
          </cell>
        </row>
        <row r="1407">
          <cell r="BA1407">
            <v>30</v>
          </cell>
        </row>
        <row r="1408">
          <cell r="AL1408">
            <v>94</v>
          </cell>
        </row>
        <row r="1409">
          <cell r="BK1409">
            <v>40</v>
          </cell>
        </row>
        <row r="1410">
          <cell r="AL1410">
            <v>12</v>
          </cell>
        </row>
        <row r="1411">
          <cell r="AD1411">
            <v>26.85</v>
          </cell>
        </row>
        <row r="1412">
          <cell r="AV1412">
            <v>675.84</v>
          </cell>
        </row>
        <row r="1413">
          <cell r="AD1413">
            <v>257.83999999999997</v>
          </cell>
        </row>
        <row r="1414">
          <cell r="AK1414">
            <v>61.99</v>
          </cell>
        </row>
        <row r="1415">
          <cell r="AD1415">
            <v>37.21</v>
          </cell>
        </row>
        <row r="1416">
          <cell r="AP1416">
            <v>105.69</v>
          </cell>
        </row>
        <row r="1417">
          <cell r="AD1417">
            <v>53.63</v>
          </cell>
        </row>
        <row r="1418">
          <cell r="AL1418">
            <v>63.6</v>
          </cell>
        </row>
        <row r="1419">
          <cell r="AV1419">
            <v>200.92</v>
          </cell>
        </row>
        <row r="1420">
          <cell r="AL1420">
            <v>63.79</v>
          </cell>
        </row>
        <row r="1421">
          <cell r="AK1421">
            <v>57.45</v>
          </cell>
        </row>
        <row r="1422">
          <cell r="O1422">
            <v>1329.8</v>
          </cell>
        </row>
        <row r="1423">
          <cell r="AV1423">
            <v>516.48</v>
          </cell>
        </row>
        <row r="1424">
          <cell r="AD1424">
            <v>1032</v>
          </cell>
        </row>
        <row r="1425">
          <cell r="BK1425">
            <v>-226.12</v>
          </cell>
        </row>
        <row r="1426">
          <cell r="AJ1426">
            <v>100</v>
          </cell>
        </row>
        <row r="1427">
          <cell r="AD1427">
            <v>650</v>
          </cell>
        </row>
        <row r="1428">
          <cell r="AD1428">
            <v>70</v>
          </cell>
          <cell r="AK1428">
            <v>60</v>
          </cell>
        </row>
        <row r="1429">
          <cell r="AD1429">
            <v>295</v>
          </cell>
        </row>
        <row r="1430">
          <cell r="AD1430">
            <v>366</v>
          </cell>
        </row>
        <row r="1431">
          <cell r="AV1431">
            <v>524.16</v>
          </cell>
        </row>
        <row r="1432">
          <cell r="AD1432">
            <v>195</v>
          </cell>
        </row>
        <row r="1433">
          <cell r="BG1433">
            <v>15</v>
          </cell>
        </row>
        <row r="1434">
          <cell r="AP1434">
            <v>20</v>
          </cell>
        </row>
        <row r="1435">
          <cell r="BK1435">
            <v>-113.88</v>
          </cell>
        </row>
        <row r="1436">
          <cell r="BK1436">
            <v>210</v>
          </cell>
        </row>
        <row r="1437">
          <cell r="BG1437">
            <v>35.03</v>
          </cell>
        </row>
        <row r="1438">
          <cell r="AJ1438">
            <v>23.47</v>
          </cell>
        </row>
        <row r="1439">
          <cell r="AD1439">
            <v>11.07</v>
          </cell>
        </row>
        <row r="1440">
          <cell r="AV1440">
            <v>426.94</v>
          </cell>
        </row>
        <row r="1441">
          <cell r="AJ1441">
            <v>7.04</v>
          </cell>
        </row>
        <row r="1442">
          <cell r="AJ1442">
            <v>30.12</v>
          </cell>
        </row>
        <row r="1443">
          <cell r="BG1443">
            <v>40</v>
          </cell>
        </row>
        <row r="1444">
          <cell r="AD1444">
            <v>1334</v>
          </cell>
        </row>
        <row r="1445">
          <cell r="AP1445">
            <v>10</v>
          </cell>
        </row>
        <row r="1446">
          <cell r="AK1446">
            <v>12</v>
          </cell>
        </row>
        <row r="1447">
          <cell r="AV1447">
            <v>568.32000000000005</v>
          </cell>
        </row>
        <row r="1448">
          <cell r="AV1448">
            <v>20</v>
          </cell>
        </row>
        <row r="1449">
          <cell r="T1449">
            <v>60</v>
          </cell>
          <cell r="AW1449">
            <v>50</v>
          </cell>
        </row>
        <row r="1450">
          <cell r="X1450">
            <v>474</v>
          </cell>
        </row>
        <row r="1451">
          <cell r="AV1451">
            <v>414.72</v>
          </cell>
        </row>
        <row r="1452">
          <cell r="AK1452">
            <v>28.78</v>
          </cell>
        </row>
        <row r="1453">
          <cell r="AP1453">
            <v>20</v>
          </cell>
        </row>
        <row r="1454">
          <cell r="W1454">
            <v>356</v>
          </cell>
        </row>
        <row r="1455">
          <cell r="S1455">
            <v>290</v>
          </cell>
        </row>
        <row r="1456">
          <cell r="V1456">
            <v>15.18</v>
          </cell>
          <cell r="X1456">
            <v>158.04</v>
          </cell>
        </row>
        <row r="1457">
          <cell r="S1457">
            <v>130</v>
          </cell>
        </row>
        <row r="1458">
          <cell r="Y1458">
            <v>16</v>
          </cell>
        </row>
        <row r="1459">
          <cell r="X1459">
            <v>1330</v>
          </cell>
        </row>
        <row r="1460">
          <cell r="BG1460">
            <v>80</v>
          </cell>
        </row>
        <row r="1461">
          <cell r="BK1461">
            <v>10</v>
          </cell>
        </row>
        <row r="1462">
          <cell r="S1462">
            <v>25</v>
          </cell>
        </row>
        <row r="1463">
          <cell r="BG1463">
            <v>80</v>
          </cell>
        </row>
        <row r="1464">
          <cell r="AJ1464">
            <v>320</v>
          </cell>
        </row>
        <row r="1465">
          <cell r="AL1465">
            <v>121.56</v>
          </cell>
        </row>
        <row r="1466">
          <cell r="AC1466">
            <v>23</v>
          </cell>
          <cell r="AJ1466">
            <v>5.54</v>
          </cell>
        </row>
        <row r="1467">
          <cell r="AL1467">
            <v>51.3</v>
          </cell>
        </row>
        <row r="1468">
          <cell r="AL1468">
            <v>93</v>
          </cell>
        </row>
        <row r="1469">
          <cell r="BG1469">
            <v>120</v>
          </cell>
        </row>
        <row r="1470">
          <cell r="X1470">
            <v>22.6</v>
          </cell>
        </row>
        <row r="1471">
          <cell r="N1471">
            <v>1235</v>
          </cell>
        </row>
        <row r="1472">
          <cell r="BG1472">
            <v>220</v>
          </cell>
        </row>
        <row r="1473">
          <cell r="AY1473">
            <v>280</v>
          </cell>
        </row>
        <row r="1474">
          <cell r="BG1474">
            <v>145</v>
          </cell>
        </row>
        <row r="1475">
          <cell r="AY1475">
            <v>87.5</v>
          </cell>
        </row>
        <row r="1476">
          <cell r="BG1476">
            <v>30</v>
          </cell>
        </row>
        <row r="1477">
          <cell r="AR1477">
            <v>202.5</v>
          </cell>
        </row>
        <row r="1478">
          <cell r="AY1478">
            <v>37.5</v>
          </cell>
        </row>
        <row r="1479">
          <cell r="BG1479">
            <v>65</v>
          </cell>
        </row>
        <row r="1480">
          <cell r="AR1480">
            <v>105</v>
          </cell>
        </row>
        <row r="1481">
          <cell r="AY1481">
            <v>162.5</v>
          </cell>
        </row>
        <row r="1482">
          <cell r="AC1482">
            <v>156</v>
          </cell>
        </row>
        <row r="1483">
          <cell r="BG1483">
            <v>10</v>
          </cell>
        </row>
        <row r="1484">
          <cell r="AJ1484">
            <v>776</v>
          </cell>
        </row>
        <row r="1485">
          <cell r="AJ1485">
            <v>42.4</v>
          </cell>
        </row>
        <row r="1486">
          <cell r="AY1486">
            <v>50</v>
          </cell>
        </row>
        <row r="1487">
          <cell r="AK1487">
            <v>5</v>
          </cell>
        </row>
        <row r="1488">
          <cell r="AZ1488">
            <v>42</v>
          </cell>
        </row>
        <row r="1489">
          <cell r="AZ1489">
            <v>244.55</v>
          </cell>
        </row>
        <row r="1490">
          <cell r="AZ1490">
            <v>293.7</v>
          </cell>
        </row>
        <row r="1491">
          <cell r="AK1491">
            <v>100</v>
          </cell>
        </row>
        <row r="1492">
          <cell r="AC1492">
            <v>33</v>
          </cell>
        </row>
        <row r="1493">
          <cell r="AC1493">
            <v>40.5</v>
          </cell>
        </row>
        <row r="1494">
          <cell r="AR1494">
            <v>17.5</v>
          </cell>
        </row>
        <row r="1495">
          <cell r="AY1495">
            <v>12.5</v>
          </cell>
        </row>
        <row r="1496">
          <cell r="AK1496">
            <v>9.0399999999999991</v>
          </cell>
        </row>
        <row r="1497">
          <cell r="AB1497">
            <v>168.78</v>
          </cell>
        </row>
        <row r="1498">
          <cell r="AP1498">
            <v>20</v>
          </cell>
        </row>
        <row r="1499">
          <cell r="AK1499">
            <v>10000</v>
          </cell>
        </row>
        <row r="1500">
          <cell r="AC1500">
            <v>50</v>
          </cell>
        </row>
        <row r="1501">
          <cell r="AY1501">
            <v>1036</v>
          </cell>
        </row>
        <row r="1502">
          <cell r="AP1502">
            <v>317.54000000000002</v>
          </cell>
        </row>
        <row r="1503">
          <cell r="AL1503">
            <v>226.35</v>
          </cell>
        </row>
        <row r="1504">
          <cell r="AC1504">
            <v>50</v>
          </cell>
        </row>
        <row r="1505">
          <cell r="AC1505">
            <v>110.35</v>
          </cell>
        </row>
        <row r="1506">
          <cell r="AK1506">
            <v>-559</v>
          </cell>
        </row>
        <row r="1507">
          <cell r="AK1507">
            <v>559</v>
          </cell>
        </row>
        <row r="1508">
          <cell r="AA1508">
            <v>156</v>
          </cell>
        </row>
        <row r="1509">
          <cell r="BG1509">
            <v>52.5</v>
          </cell>
        </row>
        <row r="1510">
          <cell r="AC1510">
            <v>360</v>
          </cell>
        </row>
        <row r="1511">
          <cell r="AR1511">
            <v>22</v>
          </cell>
        </row>
        <row r="1512">
          <cell r="AL1512">
            <v>160</v>
          </cell>
        </row>
        <row r="1513">
          <cell r="AF1513">
            <v>207.5</v>
          </cell>
        </row>
        <row r="1514">
          <cell r="AP1514">
            <v>116.76</v>
          </cell>
        </row>
        <row r="1515">
          <cell r="AR1515">
            <v>18</v>
          </cell>
        </row>
        <row r="1516">
          <cell r="AK1516">
            <v>168.55</v>
          </cell>
        </row>
        <row r="1517">
          <cell r="BG1517">
            <v>313.75</v>
          </cell>
        </row>
        <row r="1518">
          <cell r="AM1518">
            <v>1000</v>
          </cell>
        </row>
        <row r="1519">
          <cell r="BK1519">
            <v>2000</v>
          </cell>
        </row>
        <row r="1520">
          <cell r="AJ1520">
            <v>1733</v>
          </cell>
        </row>
        <row r="1521">
          <cell r="BG1521">
            <v>80</v>
          </cell>
        </row>
        <row r="1522">
          <cell r="AL1522">
            <v>-15</v>
          </cell>
        </row>
        <row r="1523">
          <cell r="AF1523">
            <v>-24</v>
          </cell>
        </row>
        <row r="1524">
          <cell r="BG1524">
            <v>64</v>
          </cell>
        </row>
        <row r="1525">
          <cell r="AR1525">
            <v>17</v>
          </cell>
        </row>
        <row r="1526">
          <cell r="AL1526">
            <v>540</v>
          </cell>
        </row>
        <row r="1527">
          <cell r="AL1527">
            <v>25.5</v>
          </cell>
        </row>
        <row r="1528">
          <cell r="BG1528">
            <v>52.5</v>
          </cell>
        </row>
        <row r="1529">
          <cell r="AF1529">
            <v>-37</v>
          </cell>
        </row>
        <row r="1530">
          <cell r="AL1530">
            <v>-30</v>
          </cell>
        </row>
        <row r="1531">
          <cell r="BG1531">
            <v>97</v>
          </cell>
        </row>
        <row r="1532">
          <cell r="BG1532">
            <v>72</v>
          </cell>
        </row>
        <row r="1533">
          <cell r="AR1533">
            <v>68</v>
          </cell>
        </row>
        <row r="1534">
          <cell r="AF1534">
            <v>177.5</v>
          </cell>
        </row>
        <row r="1535">
          <cell r="BG1535">
            <v>152</v>
          </cell>
        </row>
        <row r="1536">
          <cell r="BG1536">
            <v>58.75</v>
          </cell>
        </row>
        <row r="1537">
          <cell r="BE1537">
            <v>182.5</v>
          </cell>
        </row>
        <row r="1538">
          <cell r="BG1538">
            <v>80</v>
          </cell>
        </row>
        <row r="1539">
          <cell r="AF1539">
            <v>-5</v>
          </cell>
          <cell r="AL1539">
            <v>-10</v>
          </cell>
        </row>
        <row r="1540">
          <cell r="AK1540">
            <v>2000</v>
          </cell>
        </row>
        <row r="1541">
          <cell r="AL1541">
            <v>-10</v>
          </cell>
        </row>
        <row r="1542">
          <cell r="BG1542">
            <v>32</v>
          </cell>
        </row>
        <row r="1543">
          <cell r="BE1543">
            <v>368</v>
          </cell>
        </row>
        <row r="1544">
          <cell r="AL1544">
            <v>16.8</v>
          </cell>
        </row>
        <row r="1545">
          <cell r="AL1545">
            <v>-5</v>
          </cell>
        </row>
        <row r="1546">
          <cell r="BE1546">
            <v>73</v>
          </cell>
        </row>
        <row r="1547">
          <cell r="BA1547">
            <v>391.68</v>
          </cell>
        </row>
        <row r="1548">
          <cell r="BE1548">
            <v>292</v>
          </cell>
        </row>
        <row r="1549">
          <cell r="AL1549">
            <v>-5</v>
          </cell>
        </row>
        <row r="1550">
          <cell r="BG1550">
            <v>39.5</v>
          </cell>
        </row>
        <row r="1551">
          <cell r="BE1551">
            <v>182.5</v>
          </cell>
        </row>
        <row r="1552">
          <cell r="AP1552">
            <v>20</v>
          </cell>
        </row>
        <row r="1553">
          <cell r="AL1553">
            <v>189</v>
          </cell>
        </row>
        <row r="1554">
          <cell r="AL1554">
            <v>-4</v>
          </cell>
        </row>
        <row r="1555">
          <cell r="BE1555">
            <v>219</v>
          </cell>
        </row>
        <row r="1556">
          <cell r="BA1556">
            <v>248.64</v>
          </cell>
        </row>
        <row r="1557">
          <cell r="AC1557">
            <v>25</v>
          </cell>
          <cell r="AK1557">
            <v>40.229999999999997</v>
          </cell>
        </row>
        <row r="1558">
          <cell r="BE1558">
            <v>73</v>
          </cell>
        </row>
        <row r="1559">
          <cell r="BG1559">
            <v>42.5</v>
          </cell>
        </row>
        <row r="1560">
          <cell r="BG1560">
            <v>96</v>
          </cell>
        </row>
        <row r="1561">
          <cell r="AF1561">
            <v>-10</v>
          </cell>
          <cell r="AR1561">
            <v>22</v>
          </cell>
        </row>
        <row r="1562">
          <cell r="BE1562">
            <v>73</v>
          </cell>
        </row>
        <row r="1563">
          <cell r="AL1563">
            <v>148.5</v>
          </cell>
        </row>
        <row r="1564">
          <cell r="BG1564">
            <v>32</v>
          </cell>
        </row>
        <row r="1565">
          <cell r="AF1565">
            <v>-29</v>
          </cell>
        </row>
        <row r="1566">
          <cell r="AL1566">
            <v>-6</v>
          </cell>
        </row>
        <row r="1567">
          <cell r="AF1567">
            <v>20</v>
          </cell>
        </row>
        <row r="1568">
          <cell r="BA1568">
            <v>74.88</v>
          </cell>
        </row>
        <row r="1569">
          <cell r="BE1569">
            <v>219</v>
          </cell>
        </row>
        <row r="1570">
          <cell r="AF1570">
            <v>-4</v>
          </cell>
          <cell r="AR1570">
            <v>21</v>
          </cell>
        </row>
        <row r="1571">
          <cell r="AP1571">
            <v>60</v>
          </cell>
        </row>
        <row r="1572">
          <cell r="AK1572">
            <v>2000</v>
          </cell>
        </row>
        <row r="1573">
          <cell r="AK1573">
            <v>79.06</v>
          </cell>
        </row>
        <row r="1574">
          <cell r="AL1574">
            <v>79.78</v>
          </cell>
        </row>
        <row r="1575">
          <cell r="BA1575">
            <v>31.68</v>
          </cell>
        </row>
        <row r="1576">
          <cell r="AK1576">
            <v>2000</v>
          </cell>
          <cell r="BH1576">
            <v>17.98</v>
          </cell>
          <cell r="BK1576">
            <v>14000</v>
          </cell>
        </row>
        <row r="1577">
          <cell r="BE1577">
            <v>292</v>
          </cell>
        </row>
        <row r="1578">
          <cell r="AP1578">
            <v>20</v>
          </cell>
        </row>
        <row r="1579">
          <cell r="BC1579">
            <v>700</v>
          </cell>
        </row>
        <row r="1580">
          <cell r="AL1580">
            <v>-4</v>
          </cell>
        </row>
        <row r="1581">
          <cell r="BA1581">
            <v>65.28</v>
          </cell>
        </row>
        <row r="1582">
          <cell r="AF1582">
            <v>-9</v>
          </cell>
          <cell r="AL1582">
            <v>-22.5</v>
          </cell>
        </row>
        <row r="1583">
          <cell r="AR1583">
            <v>35</v>
          </cell>
        </row>
        <row r="1584">
          <cell r="AP1584">
            <v>130</v>
          </cell>
        </row>
        <row r="1585">
          <cell r="BG1585">
            <v>21</v>
          </cell>
        </row>
        <row r="1586">
          <cell r="BE1586">
            <v>36.5</v>
          </cell>
        </row>
        <row r="1587">
          <cell r="AL1587">
            <v>49.5</v>
          </cell>
        </row>
        <row r="1588">
          <cell r="AF1588">
            <v>99</v>
          </cell>
          <cell r="AL1588">
            <v>145.5</v>
          </cell>
        </row>
        <row r="1589">
          <cell r="AP1589">
            <v>609.58000000000004</v>
          </cell>
        </row>
        <row r="1590">
          <cell r="BG1590">
            <v>27</v>
          </cell>
        </row>
        <row r="1591">
          <cell r="AL1591">
            <v>-10</v>
          </cell>
        </row>
        <row r="1592">
          <cell r="AP1592">
            <v>70</v>
          </cell>
        </row>
        <row r="1593">
          <cell r="BG1593">
            <v>29</v>
          </cell>
        </row>
        <row r="1594">
          <cell r="BA1594">
            <v>108.48</v>
          </cell>
        </row>
        <row r="1595">
          <cell r="AL1595">
            <v>-4</v>
          </cell>
        </row>
        <row r="1596">
          <cell r="AL1596">
            <v>-20</v>
          </cell>
        </row>
        <row r="1597">
          <cell r="AP1597">
            <v>20</v>
          </cell>
        </row>
        <row r="1598">
          <cell r="AM1598">
            <v>130</v>
          </cell>
        </row>
        <row r="1599">
          <cell r="AM1599">
            <v>70</v>
          </cell>
        </row>
        <row r="1600">
          <cell r="AP1600">
            <v>40</v>
          </cell>
        </row>
        <row r="1601">
          <cell r="AJ1601">
            <v>60</v>
          </cell>
        </row>
        <row r="1602">
          <cell r="AL1602">
            <v>-10</v>
          </cell>
        </row>
        <row r="1603">
          <cell r="BG1603">
            <v>2</v>
          </cell>
        </row>
        <row r="1604">
          <cell r="AJ1604">
            <v>160</v>
          </cell>
        </row>
        <row r="1605">
          <cell r="AJ1605">
            <v>320</v>
          </cell>
        </row>
        <row r="1606">
          <cell r="BG1606">
            <v>75</v>
          </cell>
        </row>
        <row r="1607">
          <cell r="BA1607">
            <v>164.16</v>
          </cell>
        </row>
        <row r="1608">
          <cell r="AP1608">
            <v>20</v>
          </cell>
        </row>
        <row r="1609">
          <cell r="BH1609">
            <v>8.67</v>
          </cell>
        </row>
        <row r="1610">
          <cell r="AJ1610">
            <v>69.64</v>
          </cell>
          <cell r="AL1610">
            <v>66.06</v>
          </cell>
        </row>
        <row r="1611">
          <cell r="AK1611">
            <v>30.38</v>
          </cell>
        </row>
        <row r="1612">
          <cell r="AL1612">
            <v>18.89</v>
          </cell>
        </row>
        <row r="1613">
          <cell r="AP1613">
            <v>242.09</v>
          </cell>
        </row>
        <row r="1614">
          <cell r="AP1614">
            <v>20</v>
          </cell>
        </row>
        <row r="1615">
          <cell r="BA1615">
            <v>74.88</v>
          </cell>
        </row>
        <row r="1616">
          <cell r="AP1616">
            <v>360</v>
          </cell>
        </row>
        <row r="1617">
          <cell r="AP1617">
            <v>241.02</v>
          </cell>
        </row>
        <row r="1618">
          <cell r="AL1618">
            <v>174</v>
          </cell>
        </row>
        <row r="1619">
          <cell r="BE1619">
            <v>73</v>
          </cell>
        </row>
        <row r="1620">
          <cell r="AL1620">
            <v>-4</v>
          </cell>
        </row>
        <row r="1621">
          <cell r="AL1621">
            <v>33</v>
          </cell>
        </row>
        <row r="1622">
          <cell r="AP1622">
            <v>77.5</v>
          </cell>
        </row>
        <row r="1623">
          <cell r="AP1623">
            <v>115.7</v>
          </cell>
        </row>
        <row r="1650">
          <cell r="H1650">
            <v>16208.960000000001</v>
          </cell>
        </row>
      </sheetData>
      <sheetData sheetId="2">
        <row r="45">
          <cell r="C45">
            <v>5736.8899999999994</v>
          </cell>
        </row>
        <row r="61">
          <cell r="C61">
            <v>2198.3999999999996</v>
          </cell>
        </row>
      </sheetData>
      <sheetData sheetId="3"/>
      <sheetData sheetId="4">
        <row r="4">
          <cell r="L4">
            <v>70</v>
          </cell>
        </row>
        <row r="5">
          <cell r="L5">
            <v>104</v>
          </cell>
        </row>
        <row r="10">
          <cell r="L10">
            <v>1142.49</v>
          </cell>
        </row>
        <row r="11">
          <cell r="L11">
            <v>959</v>
          </cell>
        </row>
        <row r="12">
          <cell r="L12">
            <v>114.15</v>
          </cell>
        </row>
        <row r="14">
          <cell r="L14">
            <v>513.5</v>
          </cell>
        </row>
        <row r="15">
          <cell r="L15">
            <v>161.80000000000001</v>
          </cell>
        </row>
      </sheetData>
      <sheetData sheetId="5"/>
      <sheetData sheetId="6"/>
      <sheetData sheetId="7"/>
      <sheetData sheetId="8">
        <row r="4">
          <cell r="G4">
            <v>138.25000000000006</v>
          </cell>
        </row>
        <row r="121">
          <cell r="D121">
            <v>242.38000000000005</v>
          </cell>
        </row>
      </sheetData>
      <sheetData sheetId="9">
        <row r="43">
          <cell r="E43">
            <v>2607.9666666666667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13"/>
      <sheetName val="2112"/>
      <sheetName val="2110"/>
      <sheetName val="2020"/>
      <sheetName val="Trial Balance 2021"/>
      <sheetName val=" Journal 2021"/>
      <sheetName val="Petty Cash 2023"/>
      <sheetName val="TB 2023"/>
      <sheetName val="Notes 2023"/>
      <sheetName val="SOFA 2023"/>
      <sheetName val="Balance Sht 2023"/>
      <sheetName val="Petty cash 2022"/>
      <sheetName val="Notes 2022"/>
      <sheetName val="TB 2022"/>
      <sheetName val="SOFA 2022"/>
      <sheetName val="Balance Sht 2022"/>
      <sheetName val="Balance sheet 2021"/>
      <sheetName val="SOFA 2021"/>
      <sheetName val="graph"/>
      <sheetName val="Sheet1"/>
      <sheetName val="Notes 2021"/>
      <sheetName val="Marathon Refund"/>
      <sheetName val="Cash Float  Petty Cash"/>
      <sheetName val="Stock"/>
      <sheetName val="Sheet4"/>
      <sheetName val="Sheet5"/>
      <sheetName val="accountsye311221 "/>
      <sheetName val="Jan-Mar 2020 Love Admin report"/>
      <sheetName val="accounts juniors 2012"/>
      <sheetName val="accountsye311208"/>
      <sheetName val="accountsye311209"/>
      <sheetName val="accountsye311210"/>
      <sheetName val="accountsye311212"/>
      <sheetName val="accountsye311213"/>
      <sheetName val="rec310110"/>
      <sheetName val="rec280210"/>
      <sheetName val="rec310310"/>
      <sheetName val="rec300410"/>
      <sheetName val="rec310510"/>
      <sheetName val="rec300610"/>
      <sheetName val="rec190710 "/>
      <sheetName val="rec150810"/>
      <sheetName val="rec170910"/>
      <sheetName val="rec171010"/>
      <sheetName val="rec230711"/>
      <sheetName val="rec240811"/>
      <sheetName val="rec261011"/>
      <sheetName val="rec251111"/>
      <sheetName val="rec231211"/>
      <sheetName val="rec300112"/>
      <sheetName val="rec250212"/>
      <sheetName val="rec190312"/>
      <sheetName val="rec190412"/>
      <sheetName val="rec250512"/>
      <sheetName val="rec270612"/>
      <sheetName val="rec310712"/>
      <sheetName val="rec290912"/>
    </sheetNames>
    <sheetDataSet>
      <sheetData sheetId="0"/>
      <sheetData sheetId="1"/>
      <sheetData sheetId="2"/>
      <sheetData sheetId="3"/>
      <sheetData sheetId="4">
        <row r="4">
          <cell r="G4">
            <v>-1407</v>
          </cell>
        </row>
        <row r="5">
          <cell r="J5">
            <v>13286.359999999999</v>
          </cell>
        </row>
        <row r="12">
          <cell r="J12">
            <v>-5345.9</v>
          </cell>
        </row>
        <row r="13">
          <cell r="J13">
            <v>-1271</v>
          </cell>
        </row>
        <row r="14">
          <cell r="J14">
            <v>-20.63</v>
          </cell>
        </row>
        <row r="15">
          <cell r="J15">
            <v>-18.84</v>
          </cell>
        </row>
        <row r="18">
          <cell r="J18">
            <v>2408.4</v>
          </cell>
        </row>
        <row r="23">
          <cell r="J23">
            <v>3828.83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E13">
            <v>-4797.58</v>
          </cell>
        </row>
        <row r="24">
          <cell r="F24">
            <v>3353.52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E0D0-696F-4DA6-951A-9373D2F02B65}">
  <sheetPr>
    <pageSetUpPr fitToPage="1"/>
  </sheetPr>
  <dimension ref="A1:T36"/>
  <sheetViews>
    <sheetView topLeftCell="A6" workbookViewId="0">
      <selection activeCell="G8" sqref="G8"/>
    </sheetView>
  </sheetViews>
  <sheetFormatPr defaultColWidth="8.88671875" defaultRowHeight="12.6" x14ac:dyDescent="0.2"/>
  <cols>
    <col min="1" max="1" width="8.88671875" style="2"/>
    <col min="2" max="2" width="24" style="2" customWidth="1"/>
    <col min="3" max="3" width="3.5546875" style="2" customWidth="1"/>
    <col min="4" max="5" width="8.88671875" style="2"/>
    <col min="6" max="6" width="10.77734375" style="2" customWidth="1"/>
    <col min="7" max="7" width="12.6640625" style="2" bestFit="1" customWidth="1"/>
    <col min="8" max="8" width="12.33203125" style="2" customWidth="1"/>
    <col min="9" max="9" width="9.6640625" style="2" bestFit="1" customWidth="1"/>
    <col min="10" max="10" width="12.44140625" style="2" customWidth="1"/>
    <col min="11" max="11" width="11.44140625" style="2" customWidth="1"/>
    <col min="12" max="12" width="11.88671875" style="2" customWidth="1"/>
    <col min="13" max="13" width="12.44140625" style="2" bestFit="1" customWidth="1"/>
    <col min="14" max="15" width="11.33203125" style="2" customWidth="1"/>
    <col min="16" max="16" width="12.44140625" style="2" bestFit="1" customWidth="1"/>
    <col min="17" max="17" width="11.33203125" style="2" customWidth="1"/>
    <col min="18" max="19" width="8.88671875" style="2"/>
    <col min="20" max="20" width="11.33203125" style="2" bestFit="1" customWidth="1"/>
    <col min="21" max="261" width="8.88671875" style="2"/>
    <col min="262" max="262" width="24" style="2" customWidth="1"/>
    <col min="263" max="263" width="3.5546875" style="2" customWidth="1"/>
    <col min="264" max="264" width="8.88671875" style="2"/>
    <col min="265" max="265" width="9.6640625" style="2" bestFit="1" customWidth="1"/>
    <col min="266" max="266" width="12.44140625" style="2" customWidth="1"/>
    <col min="267" max="267" width="11.44140625" style="2" customWidth="1"/>
    <col min="268" max="268" width="11.88671875" style="2" customWidth="1"/>
    <col min="269" max="269" width="12.44140625" style="2" bestFit="1" customWidth="1"/>
    <col min="270" max="271" width="11.33203125" style="2" customWidth="1"/>
    <col min="272" max="272" width="12.44140625" style="2" bestFit="1" customWidth="1"/>
    <col min="273" max="273" width="11.33203125" style="2" customWidth="1"/>
    <col min="274" max="275" width="8.88671875" style="2"/>
    <col min="276" max="276" width="11.33203125" style="2" bestFit="1" customWidth="1"/>
    <col min="277" max="517" width="8.88671875" style="2"/>
    <col min="518" max="518" width="24" style="2" customWidth="1"/>
    <col min="519" max="519" width="3.5546875" style="2" customWidth="1"/>
    <col min="520" max="520" width="8.88671875" style="2"/>
    <col min="521" max="521" width="9.6640625" style="2" bestFit="1" customWidth="1"/>
    <col min="522" max="522" width="12.44140625" style="2" customWidth="1"/>
    <col min="523" max="523" width="11.44140625" style="2" customWidth="1"/>
    <col min="524" max="524" width="11.88671875" style="2" customWidth="1"/>
    <col min="525" max="525" width="12.44140625" style="2" bestFit="1" customWidth="1"/>
    <col min="526" max="527" width="11.33203125" style="2" customWidth="1"/>
    <col min="528" max="528" width="12.44140625" style="2" bestFit="1" customWidth="1"/>
    <col min="529" max="529" width="11.33203125" style="2" customWidth="1"/>
    <col min="530" max="531" width="8.88671875" style="2"/>
    <col min="532" max="532" width="11.33203125" style="2" bestFit="1" customWidth="1"/>
    <col min="533" max="773" width="8.88671875" style="2"/>
    <col min="774" max="774" width="24" style="2" customWidth="1"/>
    <col min="775" max="775" width="3.5546875" style="2" customWidth="1"/>
    <col min="776" max="776" width="8.88671875" style="2"/>
    <col min="777" max="777" width="9.6640625" style="2" bestFit="1" customWidth="1"/>
    <col min="778" max="778" width="12.44140625" style="2" customWidth="1"/>
    <col min="779" max="779" width="11.44140625" style="2" customWidth="1"/>
    <col min="780" max="780" width="11.88671875" style="2" customWidth="1"/>
    <col min="781" max="781" width="12.44140625" style="2" bestFit="1" customWidth="1"/>
    <col min="782" max="783" width="11.33203125" style="2" customWidth="1"/>
    <col min="784" max="784" width="12.44140625" style="2" bestFit="1" customWidth="1"/>
    <col min="785" max="785" width="11.33203125" style="2" customWidth="1"/>
    <col min="786" max="787" width="8.88671875" style="2"/>
    <col min="788" max="788" width="11.33203125" style="2" bestFit="1" customWidth="1"/>
    <col min="789" max="1029" width="8.88671875" style="2"/>
    <col min="1030" max="1030" width="24" style="2" customWidth="1"/>
    <col min="1031" max="1031" width="3.5546875" style="2" customWidth="1"/>
    <col min="1032" max="1032" width="8.88671875" style="2"/>
    <col min="1033" max="1033" width="9.6640625" style="2" bestFit="1" customWidth="1"/>
    <col min="1034" max="1034" width="12.44140625" style="2" customWidth="1"/>
    <col min="1035" max="1035" width="11.44140625" style="2" customWidth="1"/>
    <col min="1036" max="1036" width="11.88671875" style="2" customWidth="1"/>
    <col min="1037" max="1037" width="12.44140625" style="2" bestFit="1" customWidth="1"/>
    <col min="1038" max="1039" width="11.33203125" style="2" customWidth="1"/>
    <col min="1040" max="1040" width="12.44140625" style="2" bestFit="1" customWidth="1"/>
    <col min="1041" max="1041" width="11.33203125" style="2" customWidth="1"/>
    <col min="1042" max="1043" width="8.88671875" style="2"/>
    <col min="1044" max="1044" width="11.33203125" style="2" bestFit="1" customWidth="1"/>
    <col min="1045" max="1285" width="8.88671875" style="2"/>
    <col min="1286" max="1286" width="24" style="2" customWidth="1"/>
    <col min="1287" max="1287" width="3.5546875" style="2" customWidth="1"/>
    <col min="1288" max="1288" width="8.88671875" style="2"/>
    <col min="1289" max="1289" width="9.6640625" style="2" bestFit="1" customWidth="1"/>
    <col min="1290" max="1290" width="12.44140625" style="2" customWidth="1"/>
    <col min="1291" max="1291" width="11.44140625" style="2" customWidth="1"/>
    <col min="1292" max="1292" width="11.88671875" style="2" customWidth="1"/>
    <col min="1293" max="1293" width="12.44140625" style="2" bestFit="1" customWidth="1"/>
    <col min="1294" max="1295" width="11.33203125" style="2" customWidth="1"/>
    <col min="1296" max="1296" width="12.44140625" style="2" bestFit="1" customWidth="1"/>
    <col min="1297" max="1297" width="11.33203125" style="2" customWidth="1"/>
    <col min="1298" max="1299" width="8.88671875" style="2"/>
    <col min="1300" max="1300" width="11.33203125" style="2" bestFit="1" customWidth="1"/>
    <col min="1301" max="1541" width="8.88671875" style="2"/>
    <col min="1542" max="1542" width="24" style="2" customWidth="1"/>
    <col min="1543" max="1543" width="3.5546875" style="2" customWidth="1"/>
    <col min="1544" max="1544" width="8.88671875" style="2"/>
    <col min="1545" max="1545" width="9.6640625" style="2" bestFit="1" customWidth="1"/>
    <col min="1546" max="1546" width="12.44140625" style="2" customWidth="1"/>
    <col min="1547" max="1547" width="11.44140625" style="2" customWidth="1"/>
    <col min="1548" max="1548" width="11.88671875" style="2" customWidth="1"/>
    <col min="1549" max="1549" width="12.44140625" style="2" bestFit="1" customWidth="1"/>
    <col min="1550" max="1551" width="11.33203125" style="2" customWidth="1"/>
    <col min="1552" max="1552" width="12.44140625" style="2" bestFit="1" customWidth="1"/>
    <col min="1553" max="1553" width="11.33203125" style="2" customWidth="1"/>
    <col min="1554" max="1555" width="8.88671875" style="2"/>
    <col min="1556" max="1556" width="11.33203125" style="2" bestFit="1" customWidth="1"/>
    <col min="1557" max="1797" width="8.88671875" style="2"/>
    <col min="1798" max="1798" width="24" style="2" customWidth="1"/>
    <col min="1799" max="1799" width="3.5546875" style="2" customWidth="1"/>
    <col min="1800" max="1800" width="8.88671875" style="2"/>
    <col min="1801" max="1801" width="9.6640625" style="2" bestFit="1" customWidth="1"/>
    <col min="1802" max="1802" width="12.44140625" style="2" customWidth="1"/>
    <col min="1803" max="1803" width="11.44140625" style="2" customWidth="1"/>
    <col min="1804" max="1804" width="11.88671875" style="2" customWidth="1"/>
    <col min="1805" max="1805" width="12.44140625" style="2" bestFit="1" customWidth="1"/>
    <col min="1806" max="1807" width="11.33203125" style="2" customWidth="1"/>
    <col min="1808" max="1808" width="12.44140625" style="2" bestFit="1" customWidth="1"/>
    <col min="1809" max="1809" width="11.33203125" style="2" customWidth="1"/>
    <col min="1810" max="1811" width="8.88671875" style="2"/>
    <col min="1812" max="1812" width="11.33203125" style="2" bestFit="1" customWidth="1"/>
    <col min="1813" max="2053" width="8.88671875" style="2"/>
    <col min="2054" max="2054" width="24" style="2" customWidth="1"/>
    <col min="2055" max="2055" width="3.5546875" style="2" customWidth="1"/>
    <col min="2056" max="2056" width="8.88671875" style="2"/>
    <col min="2057" max="2057" width="9.6640625" style="2" bestFit="1" customWidth="1"/>
    <col min="2058" max="2058" width="12.44140625" style="2" customWidth="1"/>
    <col min="2059" max="2059" width="11.44140625" style="2" customWidth="1"/>
    <col min="2060" max="2060" width="11.88671875" style="2" customWidth="1"/>
    <col min="2061" max="2061" width="12.44140625" style="2" bestFit="1" customWidth="1"/>
    <col min="2062" max="2063" width="11.33203125" style="2" customWidth="1"/>
    <col min="2064" max="2064" width="12.44140625" style="2" bestFit="1" customWidth="1"/>
    <col min="2065" max="2065" width="11.33203125" style="2" customWidth="1"/>
    <col min="2066" max="2067" width="8.88671875" style="2"/>
    <col min="2068" max="2068" width="11.33203125" style="2" bestFit="1" customWidth="1"/>
    <col min="2069" max="2309" width="8.88671875" style="2"/>
    <col min="2310" max="2310" width="24" style="2" customWidth="1"/>
    <col min="2311" max="2311" width="3.5546875" style="2" customWidth="1"/>
    <col min="2312" max="2312" width="8.88671875" style="2"/>
    <col min="2313" max="2313" width="9.6640625" style="2" bestFit="1" customWidth="1"/>
    <col min="2314" max="2314" width="12.44140625" style="2" customWidth="1"/>
    <col min="2315" max="2315" width="11.44140625" style="2" customWidth="1"/>
    <col min="2316" max="2316" width="11.88671875" style="2" customWidth="1"/>
    <col min="2317" max="2317" width="12.44140625" style="2" bestFit="1" customWidth="1"/>
    <col min="2318" max="2319" width="11.33203125" style="2" customWidth="1"/>
    <col min="2320" max="2320" width="12.44140625" style="2" bestFit="1" customWidth="1"/>
    <col min="2321" max="2321" width="11.33203125" style="2" customWidth="1"/>
    <col min="2322" max="2323" width="8.88671875" style="2"/>
    <col min="2324" max="2324" width="11.33203125" style="2" bestFit="1" customWidth="1"/>
    <col min="2325" max="2565" width="8.88671875" style="2"/>
    <col min="2566" max="2566" width="24" style="2" customWidth="1"/>
    <col min="2567" max="2567" width="3.5546875" style="2" customWidth="1"/>
    <col min="2568" max="2568" width="8.88671875" style="2"/>
    <col min="2569" max="2569" width="9.6640625" style="2" bestFit="1" customWidth="1"/>
    <col min="2570" max="2570" width="12.44140625" style="2" customWidth="1"/>
    <col min="2571" max="2571" width="11.44140625" style="2" customWidth="1"/>
    <col min="2572" max="2572" width="11.88671875" style="2" customWidth="1"/>
    <col min="2573" max="2573" width="12.44140625" style="2" bestFit="1" customWidth="1"/>
    <col min="2574" max="2575" width="11.33203125" style="2" customWidth="1"/>
    <col min="2576" max="2576" width="12.44140625" style="2" bestFit="1" customWidth="1"/>
    <col min="2577" max="2577" width="11.33203125" style="2" customWidth="1"/>
    <col min="2578" max="2579" width="8.88671875" style="2"/>
    <col min="2580" max="2580" width="11.33203125" style="2" bestFit="1" customWidth="1"/>
    <col min="2581" max="2821" width="8.88671875" style="2"/>
    <col min="2822" max="2822" width="24" style="2" customWidth="1"/>
    <col min="2823" max="2823" width="3.5546875" style="2" customWidth="1"/>
    <col min="2824" max="2824" width="8.88671875" style="2"/>
    <col min="2825" max="2825" width="9.6640625" style="2" bestFit="1" customWidth="1"/>
    <col min="2826" max="2826" width="12.44140625" style="2" customWidth="1"/>
    <col min="2827" max="2827" width="11.44140625" style="2" customWidth="1"/>
    <col min="2828" max="2828" width="11.88671875" style="2" customWidth="1"/>
    <col min="2829" max="2829" width="12.44140625" style="2" bestFit="1" customWidth="1"/>
    <col min="2830" max="2831" width="11.33203125" style="2" customWidth="1"/>
    <col min="2832" max="2832" width="12.44140625" style="2" bestFit="1" customWidth="1"/>
    <col min="2833" max="2833" width="11.33203125" style="2" customWidth="1"/>
    <col min="2834" max="2835" width="8.88671875" style="2"/>
    <col min="2836" max="2836" width="11.33203125" style="2" bestFit="1" customWidth="1"/>
    <col min="2837" max="3077" width="8.88671875" style="2"/>
    <col min="3078" max="3078" width="24" style="2" customWidth="1"/>
    <col min="3079" max="3079" width="3.5546875" style="2" customWidth="1"/>
    <col min="3080" max="3080" width="8.88671875" style="2"/>
    <col min="3081" max="3081" width="9.6640625" style="2" bestFit="1" customWidth="1"/>
    <col min="3082" max="3082" width="12.44140625" style="2" customWidth="1"/>
    <col min="3083" max="3083" width="11.44140625" style="2" customWidth="1"/>
    <col min="3084" max="3084" width="11.88671875" style="2" customWidth="1"/>
    <col min="3085" max="3085" width="12.44140625" style="2" bestFit="1" customWidth="1"/>
    <col min="3086" max="3087" width="11.33203125" style="2" customWidth="1"/>
    <col min="3088" max="3088" width="12.44140625" style="2" bestFit="1" customWidth="1"/>
    <col min="3089" max="3089" width="11.33203125" style="2" customWidth="1"/>
    <col min="3090" max="3091" width="8.88671875" style="2"/>
    <col min="3092" max="3092" width="11.33203125" style="2" bestFit="1" customWidth="1"/>
    <col min="3093" max="3333" width="8.88671875" style="2"/>
    <col min="3334" max="3334" width="24" style="2" customWidth="1"/>
    <col min="3335" max="3335" width="3.5546875" style="2" customWidth="1"/>
    <col min="3336" max="3336" width="8.88671875" style="2"/>
    <col min="3337" max="3337" width="9.6640625" style="2" bestFit="1" customWidth="1"/>
    <col min="3338" max="3338" width="12.44140625" style="2" customWidth="1"/>
    <col min="3339" max="3339" width="11.44140625" style="2" customWidth="1"/>
    <col min="3340" max="3340" width="11.88671875" style="2" customWidth="1"/>
    <col min="3341" max="3341" width="12.44140625" style="2" bestFit="1" customWidth="1"/>
    <col min="3342" max="3343" width="11.33203125" style="2" customWidth="1"/>
    <col min="3344" max="3344" width="12.44140625" style="2" bestFit="1" customWidth="1"/>
    <col min="3345" max="3345" width="11.33203125" style="2" customWidth="1"/>
    <col min="3346" max="3347" width="8.88671875" style="2"/>
    <col min="3348" max="3348" width="11.33203125" style="2" bestFit="1" customWidth="1"/>
    <col min="3349" max="3589" width="8.88671875" style="2"/>
    <col min="3590" max="3590" width="24" style="2" customWidth="1"/>
    <col min="3591" max="3591" width="3.5546875" style="2" customWidth="1"/>
    <col min="3592" max="3592" width="8.88671875" style="2"/>
    <col min="3593" max="3593" width="9.6640625" style="2" bestFit="1" customWidth="1"/>
    <col min="3594" max="3594" width="12.44140625" style="2" customWidth="1"/>
    <col min="3595" max="3595" width="11.44140625" style="2" customWidth="1"/>
    <col min="3596" max="3596" width="11.88671875" style="2" customWidth="1"/>
    <col min="3597" max="3597" width="12.44140625" style="2" bestFit="1" customWidth="1"/>
    <col min="3598" max="3599" width="11.33203125" style="2" customWidth="1"/>
    <col min="3600" max="3600" width="12.44140625" style="2" bestFit="1" customWidth="1"/>
    <col min="3601" max="3601" width="11.33203125" style="2" customWidth="1"/>
    <col min="3602" max="3603" width="8.88671875" style="2"/>
    <col min="3604" max="3604" width="11.33203125" style="2" bestFit="1" customWidth="1"/>
    <col min="3605" max="3845" width="8.88671875" style="2"/>
    <col min="3846" max="3846" width="24" style="2" customWidth="1"/>
    <col min="3847" max="3847" width="3.5546875" style="2" customWidth="1"/>
    <col min="3848" max="3848" width="8.88671875" style="2"/>
    <col min="3849" max="3849" width="9.6640625" style="2" bestFit="1" customWidth="1"/>
    <col min="3850" max="3850" width="12.44140625" style="2" customWidth="1"/>
    <col min="3851" max="3851" width="11.44140625" style="2" customWidth="1"/>
    <col min="3852" max="3852" width="11.88671875" style="2" customWidth="1"/>
    <col min="3853" max="3853" width="12.44140625" style="2" bestFit="1" customWidth="1"/>
    <col min="3854" max="3855" width="11.33203125" style="2" customWidth="1"/>
    <col min="3856" max="3856" width="12.44140625" style="2" bestFit="1" customWidth="1"/>
    <col min="3857" max="3857" width="11.33203125" style="2" customWidth="1"/>
    <col min="3858" max="3859" width="8.88671875" style="2"/>
    <col min="3860" max="3860" width="11.33203125" style="2" bestFit="1" customWidth="1"/>
    <col min="3861" max="4101" width="8.88671875" style="2"/>
    <col min="4102" max="4102" width="24" style="2" customWidth="1"/>
    <col min="4103" max="4103" width="3.5546875" style="2" customWidth="1"/>
    <col min="4104" max="4104" width="8.88671875" style="2"/>
    <col min="4105" max="4105" width="9.6640625" style="2" bestFit="1" customWidth="1"/>
    <col min="4106" max="4106" width="12.44140625" style="2" customWidth="1"/>
    <col min="4107" max="4107" width="11.44140625" style="2" customWidth="1"/>
    <col min="4108" max="4108" width="11.88671875" style="2" customWidth="1"/>
    <col min="4109" max="4109" width="12.44140625" style="2" bestFit="1" customWidth="1"/>
    <col min="4110" max="4111" width="11.33203125" style="2" customWidth="1"/>
    <col min="4112" max="4112" width="12.44140625" style="2" bestFit="1" customWidth="1"/>
    <col min="4113" max="4113" width="11.33203125" style="2" customWidth="1"/>
    <col min="4114" max="4115" width="8.88671875" style="2"/>
    <col min="4116" max="4116" width="11.33203125" style="2" bestFit="1" customWidth="1"/>
    <col min="4117" max="4357" width="8.88671875" style="2"/>
    <col min="4358" max="4358" width="24" style="2" customWidth="1"/>
    <col min="4359" max="4359" width="3.5546875" style="2" customWidth="1"/>
    <col min="4360" max="4360" width="8.88671875" style="2"/>
    <col min="4361" max="4361" width="9.6640625" style="2" bestFit="1" customWidth="1"/>
    <col min="4362" max="4362" width="12.44140625" style="2" customWidth="1"/>
    <col min="4363" max="4363" width="11.44140625" style="2" customWidth="1"/>
    <col min="4364" max="4364" width="11.88671875" style="2" customWidth="1"/>
    <col min="4365" max="4365" width="12.44140625" style="2" bestFit="1" customWidth="1"/>
    <col min="4366" max="4367" width="11.33203125" style="2" customWidth="1"/>
    <col min="4368" max="4368" width="12.44140625" style="2" bestFit="1" customWidth="1"/>
    <col min="4369" max="4369" width="11.33203125" style="2" customWidth="1"/>
    <col min="4370" max="4371" width="8.88671875" style="2"/>
    <col min="4372" max="4372" width="11.33203125" style="2" bestFit="1" customWidth="1"/>
    <col min="4373" max="4613" width="8.88671875" style="2"/>
    <col min="4614" max="4614" width="24" style="2" customWidth="1"/>
    <col min="4615" max="4615" width="3.5546875" style="2" customWidth="1"/>
    <col min="4616" max="4616" width="8.88671875" style="2"/>
    <col min="4617" max="4617" width="9.6640625" style="2" bestFit="1" customWidth="1"/>
    <col min="4618" max="4618" width="12.44140625" style="2" customWidth="1"/>
    <col min="4619" max="4619" width="11.44140625" style="2" customWidth="1"/>
    <col min="4620" max="4620" width="11.88671875" style="2" customWidth="1"/>
    <col min="4621" max="4621" width="12.44140625" style="2" bestFit="1" customWidth="1"/>
    <col min="4622" max="4623" width="11.33203125" style="2" customWidth="1"/>
    <col min="4624" max="4624" width="12.44140625" style="2" bestFit="1" customWidth="1"/>
    <col min="4625" max="4625" width="11.33203125" style="2" customWidth="1"/>
    <col min="4626" max="4627" width="8.88671875" style="2"/>
    <col min="4628" max="4628" width="11.33203125" style="2" bestFit="1" customWidth="1"/>
    <col min="4629" max="4869" width="8.88671875" style="2"/>
    <col min="4870" max="4870" width="24" style="2" customWidth="1"/>
    <col min="4871" max="4871" width="3.5546875" style="2" customWidth="1"/>
    <col min="4872" max="4872" width="8.88671875" style="2"/>
    <col min="4873" max="4873" width="9.6640625" style="2" bestFit="1" customWidth="1"/>
    <col min="4874" max="4874" width="12.44140625" style="2" customWidth="1"/>
    <col min="4875" max="4875" width="11.44140625" style="2" customWidth="1"/>
    <col min="4876" max="4876" width="11.88671875" style="2" customWidth="1"/>
    <col min="4877" max="4877" width="12.44140625" style="2" bestFit="1" customWidth="1"/>
    <col min="4878" max="4879" width="11.33203125" style="2" customWidth="1"/>
    <col min="4880" max="4880" width="12.44140625" style="2" bestFit="1" customWidth="1"/>
    <col min="4881" max="4881" width="11.33203125" style="2" customWidth="1"/>
    <col min="4882" max="4883" width="8.88671875" style="2"/>
    <col min="4884" max="4884" width="11.33203125" style="2" bestFit="1" customWidth="1"/>
    <col min="4885" max="5125" width="8.88671875" style="2"/>
    <col min="5126" max="5126" width="24" style="2" customWidth="1"/>
    <col min="5127" max="5127" width="3.5546875" style="2" customWidth="1"/>
    <col min="5128" max="5128" width="8.88671875" style="2"/>
    <col min="5129" max="5129" width="9.6640625" style="2" bestFit="1" customWidth="1"/>
    <col min="5130" max="5130" width="12.44140625" style="2" customWidth="1"/>
    <col min="5131" max="5131" width="11.44140625" style="2" customWidth="1"/>
    <col min="5132" max="5132" width="11.88671875" style="2" customWidth="1"/>
    <col min="5133" max="5133" width="12.44140625" style="2" bestFit="1" customWidth="1"/>
    <col min="5134" max="5135" width="11.33203125" style="2" customWidth="1"/>
    <col min="5136" max="5136" width="12.44140625" style="2" bestFit="1" customWidth="1"/>
    <col min="5137" max="5137" width="11.33203125" style="2" customWidth="1"/>
    <col min="5138" max="5139" width="8.88671875" style="2"/>
    <col min="5140" max="5140" width="11.33203125" style="2" bestFit="1" customWidth="1"/>
    <col min="5141" max="5381" width="8.88671875" style="2"/>
    <col min="5382" max="5382" width="24" style="2" customWidth="1"/>
    <col min="5383" max="5383" width="3.5546875" style="2" customWidth="1"/>
    <col min="5384" max="5384" width="8.88671875" style="2"/>
    <col min="5385" max="5385" width="9.6640625" style="2" bestFit="1" customWidth="1"/>
    <col min="5386" max="5386" width="12.44140625" style="2" customWidth="1"/>
    <col min="5387" max="5387" width="11.44140625" style="2" customWidth="1"/>
    <col min="5388" max="5388" width="11.88671875" style="2" customWidth="1"/>
    <col min="5389" max="5389" width="12.44140625" style="2" bestFit="1" customWidth="1"/>
    <col min="5390" max="5391" width="11.33203125" style="2" customWidth="1"/>
    <col min="5392" max="5392" width="12.44140625" style="2" bestFit="1" customWidth="1"/>
    <col min="5393" max="5393" width="11.33203125" style="2" customWidth="1"/>
    <col min="5394" max="5395" width="8.88671875" style="2"/>
    <col min="5396" max="5396" width="11.33203125" style="2" bestFit="1" customWidth="1"/>
    <col min="5397" max="5637" width="8.88671875" style="2"/>
    <col min="5638" max="5638" width="24" style="2" customWidth="1"/>
    <col min="5639" max="5639" width="3.5546875" style="2" customWidth="1"/>
    <col min="5640" max="5640" width="8.88671875" style="2"/>
    <col min="5641" max="5641" width="9.6640625" style="2" bestFit="1" customWidth="1"/>
    <col min="5642" max="5642" width="12.44140625" style="2" customWidth="1"/>
    <col min="5643" max="5643" width="11.44140625" style="2" customWidth="1"/>
    <col min="5644" max="5644" width="11.88671875" style="2" customWidth="1"/>
    <col min="5645" max="5645" width="12.44140625" style="2" bestFit="1" customWidth="1"/>
    <col min="5646" max="5647" width="11.33203125" style="2" customWidth="1"/>
    <col min="5648" max="5648" width="12.44140625" style="2" bestFit="1" customWidth="1"/>
    <col min="5649" max="5649" width="11.33203125" style="2" customWidth="1"/>
    <col min="5650" max="5651" width="8.88671875" style="2"/>
    <col min="5652" max="5652" width="11.33203125" style="2" bestFit="1" customWidth="1"/>
    <col min="5653" max="5893" width="8.88671875" style="2"/>
    <col min="5894" max="5894" width="24" style="2" customWidth="1"/>
    <col min="5895" max="5895" width="3.5546875" style="2" customWidth="1"/>
    <col min="5896" max="5896" width="8.88671875" style="2"/>
    <col min="5897" max="5897" width="9.6640625" style="2" bestFit="1" customWidth="1"/>
    <col min="5898" max="5898" width="12.44140625" style="2" customWidth="1"/>
    <col min="5899" max="5899" width="11.44140625" style="2" customWidth="1"/>
    <col min="5900" max="5900" width="11.88671875" style="2" customWidth="1"/>
    <col min="5901" max="5901" width="12.44140625" style="2" bestFit="1" customWidth="1"/>
    <col min="5902" max="5903" width="11.33203125" style="2" customWidth="1"/>
    <col min="5904" max="5904" width="12.44140625" style="2" bestFit="1" customWidth="1"/>
    <col min="5905" max="5905" width="11.33203125" style="2" customWidth="1"/>
    <col min="5906" max="5907" width="8.88671875" style="2"/>
    <col min="5908" max="5908" width="11.33203125" style="2" bestFit="1" customWidth="1"/>
    <col min="5909" max="6149" width="8.88671875" style="2"/>
    <col min="6150" max="6150" width="24" style="2" customWidth="1"/>
    <col min="6151" max="6151" width="3.5546875" style="2" customWidth="1"/>
    <col min="6152" max="6152" width="8.88671875" style="2"/>
    <col min="6153" max="6153" width="9.6640625" style="2" bestFit="1" customWidth="1"/>
    <col min="6154" max="6154" width="12.44140625" style="2" customWidth="1"/>
    <col min="6155" max="6155" width="11.44140625" style="2" customWidth="1"/>
    <col min="6156" max="6156" width="11.88671875" style="2" customWidth="1"/>
    <col min="6157" max="6157" width="12.44140625" style="2" bestFit="1" customWidth="1"/>
    <col min="6158" max="6159" width="11.33203125" style="2" customWidth="1"/>
    <col min="6160" max="6160" width="12.44140625" style="2" bestFit="1" customWidth="1"/>
    <col min="6161" max="6161" width="11.33203125" style="2" customWidth="1"/>
    <col min="6162" max="6163" width="8.88671875" style="2"/>
    <col min="6164" max="6164" width="11.33203125" style="2" bestFit="1" customWidth="1"/>
    <col min="6165" max="6405" width="8.88671875" style="2"/>
    <col min="6406" max="6406" width="24" style="2" customWidth="1"/>
    <col min="6407" max="6407" width="3.5546875" style="2" customWidth="1"/>
    <col min="6408" max="6408" width="8.88671875" style="2"/>
    <col min="6409" max="6409" width="9.6640625" style="2" bestFit="1" customWidth="1"/>
    <col min="6410" max="6410" width="12.44140625" style="2" customWidth="1"/>
    <col min="6411" max="6411" width="11.44140625" style="2" customWidth="1"/>
    <col min="6412" max="6412" width="11.88671875" style="2" customWidth="1"/>
    <col min="6413" max="6413" width="12.44140625" style="2" bestFit="1" customWidth="1"/>
    <col min="6414" max="6415" width="11.33203125" style="2" customWidth="1"/>
    <col min="6416" max="6416" width="12.44140625" style="2" bestFit="1" customWidth="1"/>
    <col min="6417" max="6417" width="11.33203125" style="2" customWidth="1"/>
    <col min="6418" max="6419" width="8.88671875" style="2"/>
    <col min="6420" max="6420" width="11.33203125" style="2" bestFit="1" customWidth="1"/>
    <col min="6421" max="6661" width="8.88671875" style="2"/>
    <col min="6662" max="6662" width="24" style="2" customWidth="1"/>
    <col min="6663" max="6663" width="3.5546875" style="2" customWidth="1"/>
    <col min="6664" max="6664" width="8.88671875" style="2"/>
    <col min="6665" max="6665" width="9.6640625" style="2" bestFit="1" customWidth="1"/>
    <col min="6666" max="6666" width="12.44140625" style="2" customWidth="1"/>
    <col min="6667" max="6667" width="11.44140625" style="2" customWidth="1"/>
    <col min="6668" max="6668" width="11.88671875" style="2" customWidth="1"/>
    <col min="6669" max="6669" width="12.44140625" style="2" bestFit="1" customWidth="1"/>
    <col min="6670" max="6671" width="11.33203125" style="2" customWidth="1"/>
    <col min="6672" max="6672" width="12.44140625" style="2" bestFit="1" customWidth="1"/>
    <col min="6673" max="6673" width="11.33203125" style="2" customWidth="1"/>
    <col min="6674" max="6675" width="8.88671875" style="2"/>
    <col min="6676" max="6676" width="11.33203125" style="2" bestFit="1" customWidth="1"/>
    <col min="6677" max="6917" width="8.88671875" style="2"/>
    <col min="6918" max="6918" width="24" style="2" customWidth="1"/>
    <col min="6919" max="6919" width="3.5546875" style="2" customWidth="1"/>
    <col min="6920" max="6920" width="8.88671875" style="2"/>
    <col min="6921" max="6921" width="9.6640625" style="2" bestFit="1" customWidth="1"/>
    <col min="6922" max="6922" width="12.44140625" style="2" customWidth="1"/>
    <col min="6923" max="6923" width="11.44140625" style="2" customWidth="1"/>
    <col min="6924" max="6924" width="11.88671875" style="2" customWidth="1"/>
    <col min="6925" max="6925" width="12.44140625" style="2" bestFit="1" customWidth="1"/>
    <col min="6926" max="6927" width="11.33203125" style="2" customWidth="1"/>
    <col min="6928" max="6928" width="12.44140625" style="2" bestFit="1" customWidth="1"/>
    <col min="6929" max="6929" width="11.33203125" style="2" customWidth="1"/>
    <col min="6930" max="6931" width="8.88671875" style="2"/>
    <col min="6932" max="6932" width="11.33203125" style="2" bestFit="1" customWidth="1"/>
    <col min="6933" max="7173" width="8.88671875" style="2"/>
    <col min="7174" max="7174" width="24" style="2" customWidth="1"/>
    <col min="7175" max="7175" width="3.5546875" style="2" customWidth="1"/>
    <col min="7176" max="7176" width="8.88671875" style="2"/>
    <col min="7177" max="7177" width="9.6640625" style="2" bestFit="1" customWidth="1"/>
    <col min="7178" max="7178" width="12.44140625" style="2" customWidth="1"/>
    <col min="7179" max="7179" width="11.44140625" style="2" customWidth="1"/>
    <col min="7180" max="7180" width="11.88671875" style="2" customWidth="1"/>
    <col min="7181" max="7181" width="12.44140625" style="2" bestFit="1" customWidth="1"/>
    <col min="7182" max="7183" width="11.33203125" style="2" customWidth="1"/>
    <col min="7184" max="7184" width="12.44140625" style="2" bestFit="1" customWidth="1"/>
    <col min="7185" max="7185" width="11.33203125" style="2" customWidth="1"/>
    <col min="7186" max="7187" width="8.88671875" style="2"/>
    <col min="7188" max="7188" width="11.33203125" style="2" bestFit="1" customWidth="1"/>
    <col min="7189" max="7429" width="8.88671875" style="2"/>
    <col min="7430" max="7430" width="24" style="2" customWidth="1"/>
    <col min="7431" max="7431" width="3.5546875" style="2" customWidth="1"/>
    <col min="7432" max="7432" width="8.88671875" style="2"/>
    <col min="7433" max="7433" width="9.6640625" style="2" bestFit="1" customWidth="1"/>
    <col min="7434" max="7434" width="12.44140625" style="2" customWidth="1"/>
    <col min="7435" max="7435" width="11.44140625" style="2" customWidth="1"/>
    <col min="7436" max="7436" width="11.88671875" style="2" customWidth="1"/>
    <col min="7437" max="7437" width="12.44140625" style="2" bestFit="1" customWidth="1"/>
    <col min="7438" max="7439" width="11.33203125" style="2" customWidth="1"/>
    <col min="7440" max="7440" width="12.44140625" style="2" bestFit="1" customWidth="1"/>
    <col min="7441" max="7441" width="11.33203125" style="2" customWidth="1"/>
    <col min="7442" max="7443" width="8.88671875" style="2"/>
    <col min="7444" max="7444" width="11.33203125" style="2" bestFit="1" customWidth="1"/>
    <col min="7445" max="7685" width="8.88671875" style="2"/>
    <col min="7686" max="7686" width="24" style="2" customWidth="1"/>
    <col min="7687" max="7687" width="3.5546875" style="2" customWidth="1"/>
    <col min="7688" max="7688" width="8.88671875" style="2"/>
    <col min="7689" max="7689" width="9.6640625" style="2" bestFit="1" customWidth="1"/>
    <col min="7690" max="7690" width="12.44140625" style="2" customWidth="1"/>
    <col min="7691" max="7691" width="11.44140625" style="2" customWidth="1"/>
    <col min="7692" max="7692" width="11.88671875" style="2" customWidth="1"/>
    <col min="7693" max="7693" width="12.44140625" style="2" bestFit="1" customWidth="1"/>
    <col min="7694" max="7695" width="11.33203125" style="2" customWidth="1"/>
    <col min="7696" max="7696" width="12.44140625" style="2" bestFit="1" customWidth="1"/>
    <col min="7697" max="7697" width="11.33203125" style="2" customWidth="1"/>
    <col min="7698" max="7699" width="8.88671875" style="2"/>
    <col min="7700" max="7700" width="11.33203125" style="2" bestFit="1" customWidth="1"/>
    <col min="7701" max="7941" width="8.88671875" style="2"/>
    <col min="7942" max="7942" width="24" style="2" customWidth="1"/>
    <col min="7943" max="7943" width="3.5546875" style="2" customWidth="1"/>
    <col min="7944" max="7944" width="8.88671875" style="2"/>
    <col min="7945" max="7945" width="9.6640625" style="2" bestFit="1" customWidth="1"/>
    <col min="7946" max="7946" width="12.44140625" style="2" customWidth="1"/>
    <col min="7947" max="7947" width="11.44140625" style="2" customWidth="1"/>
    <col min="7948" max="7948" width="11.88671875" style="2" customWidth="1"/>
    <col min="7949" max="7949" width="12.44140625" style="2" bestFit="1" customWidth="1"/>
    <col min="7950" max="7951" width="11.33203125" style="2" customWidth="1"/>
    <col min="7952" max="7952" width="12.44140625" style="2" bestFit="1" customWidth="1"/>
    <col min="7953" max="7953" width="11.33203125" style="2" customWidth="1"/>
    <col min="7954" max="7955" width="8.88671875" style="2"/>
    <col min="7956" max="7956" width="11.33203125" style="2" bestFit="1" customWidth="1"/>
    <col min="7957" max="8197" width="8.88671875" style="2"/>
    <col min="8198" max="8198" width="24" style="2" customWidth="1"/>
    <col min="8199" max="8199" width="3.5546875" style="2" customWidth="1"/>
    <col min="8200" max="8200" width="8.88671875" style="2"/>
    <col min="8201" max="8201" width="9.6640625" style="2" bestFit="1" customWidth="1"/>
    <col min="8202" max="8202" width="12.44140625" style="2" customWidth="1"/>
    <col min="8203" max="8203" width="11.44140625" style="2" customWidth="1"/>
    <col min="8204" max="8204" width="11.88671875" style="2" customWidth="1"/>
    <col min="8205" max="8205" width="12.44140625" style="2" bestFit="1" customWidth="1"/>
    <col min="8206" max="8207" width="11.33203125" style="2" customWidth="1"/>
    <col min="8208" max="8208" width="12.44140625" style="2" bestFit="1" customWidth="1"/>
    <col min="8209" max="8209" width="11.33203125" style="2" customWidth="1"/>
    <col min="8210" max="8211" width="8.88671875" style="2"/>
    <col min="8212" max="8212" width="11.33203125" style="2" bestFit="1" customWidth="1"/>
    <col min="8213" max="8453" width="8.88671875" style="2"/>
    <col min="8454" max="8454" width="24" style="2" customWidth="1"/>
    <col min="8455" max="8455" width="3.5546875" style="2" customWidth="1"/>
    <col min="8456" max="8456" width="8.88671875" style="2"/>
    <col min="8457" max="8457" width="9.6640625" style="2" bestFit="1" customWidth="1"/>
    <col min="8458" max="8458" width="12.44140625" style="2" customWidth="1"/>
    <col min="8459" max="8459" width="11.44140625" style="2" customWidth="1"/>
    <col min="8460" max="8460" width="11.88671875" style="2" customWidth="1"/>
    <col min="8461" max="8461" width="12.44140625" style="2" bestFit="1" customWidth="1"/>
    <col min="8462" max="8463" width="11.33203125" style="2" customWidth="1"/>
    <col min="8464" max="8464" width="12.44140625" style="2" bestFit="1" customWidth="1"/>
    <col min="8465" max="8465" width="11.33203125" style="2" customWidth="1"/>
    <col min="8466" max="8467" width="8.88671875" style="2"/>
    <col min="8468" max="8468" width="11.33203125" style="2" bestFit="1" customWidth="1"/>
    <col min="8469" max="8709" width="8.88671875" style="2"/>
    <col min="8710" max="8710" width="24" style="2" customWidth="1"/>
    <col min="8711" max="8711" width="3.5546875" style="2" customWidth="1"/>
    <col min="8712" max="8712" width="8.88671875" style="2"/>
    <col min="8713" max="8713" width="9.6640625" style="2" bestFit="1" customWidth="1"/>
    <col min="8714" max="8714" width="12.44140625" style="2" customWidth="1"/>
    <col min="8715" max="8715" width="11.44140625" style="2" customWidth="1"/>
    <col min="8716" max="8716" width="11.88671875" style="2" customWidth="1"/>
    <col min="8717" max="8717" width="12.44140625" style="2" bestFit="1" customWidth="1"/>
    <col min="8718" max="8719" width="11.33203125" style="2" customWidth="1"/>
    <col min="8720" max="8720" width="12.44140625" style="2" bestFit="1" customWidth="1"/>
    <col min="8721" max="8721" width="11.33203125" style="2" customWidth="1"/>
    <col min="8722" max="8723" width="8.88671875" style="2"/>
    <col min="8724" max="8724" width="11.33203125" style="2" bestFit="1" customWidth="1"/>
    <col min="8725" max="8965" width="8.88671875" style="2"/>
    <col min="8966" max="8966" width="24" style="2" customWidth="1"/>
    <col min="8967" max="8967" width="3.5546875" style="2" customWidth="1"/>
    <col min="8968" max="8968" width="8.88671875" style="2"/>
    <col min="8969" max="8969" width="9.6640625" style="2" bestFit="1" customWidth="1"/>
    <col min="8970" max="8970" width="12.44140625" style="2" customWidth="1"/>
    <col min="8971" max="8971" width="11.44140625" style="2" customWidth="1"/>
    <col min="8972" max="8972" width="11.88671875" style="2" customWidth="1"/>
    <col min="8973" max="8973" width="12.44140625" style="2" bestFit="1" customWidth="1"/>
    <col min="8974" max="8975" width="11.33203125" style="2" customWidth="1"/>
    <col min="8976" max="8976" width="12.44140625" style="2" bestFit="1" customWidth="1"/>
    <col min="8977" max="8977" width="11.33203125" style="2" customWidth="1"/>
    <col min="8978" max="8979" width="8.88671875" style="2"/>
    <col min="8980" max="8980" width="11.33203125" style="2" bestFit="1" customWidth="1"/>
    <col min="8981" max="9221" width="8.88671875" style="2"/>
    <col min="9222" max="9222" width="24" style="2" customWidth="1"/>
    <col min="9223" max="9223" width="3.5546875" style="2" customWidth="1"/>
    <col min="9224" max="9224" width="8.88671875" style="2"/>
    <col min="9225" max="9225" width="9.6640625" style="2" bestFit="1" customWidth="1"/>
    <col min="9226" max="9226" width="12.44140625" style="2" customWidth="1"/>
    <col min="9227" max="9227" width="11.44140625" style="2" customWidth="1"/>
    <col min="9228" max="9228" width="11.88671875" style="2" customWidth="1"/>
    <col min="9229" max="9229" width="12.44140625" style="2" bestFit="1" customWidth="1"/>
    <col min="9230" max="9231" width="11.33203125" style="2" customWidth="1"/>
    <col min="9232" max="9232" width="12.44140625" style="2" bestFit="1" customWidth="1"/>
    <col min="9233" max="9233" width="11.33203125" style="2" customWidth="1"/>
    <col min="9234" max="9235" width="8.88671875" style="2"/>
    <col min="9236" max="9236" width="11.33203125" style="2" bestFit="1" customWidth="1"/>
    <col min="9237" max="9477" width="8.88671875" style="2"/>
    <col min="9478" max="9478" width="24" style="2" customWidth="1"/>
    <col min="9479" max="9479" width="3.5546875" style="2" customWidth="1"/>
    <col min="9480" max="9480" width="8.88671875" style="2"/>
    <col min="9481" max="9481" width="9.6640625" style="2" bestFit="1" customWidth="1"/>
    <col min="9482" max="9482" width="12.44140625" style="2" customWidth="1"/>
    <col min="9483" max="9483" width="11.44140625" style="2" customWidth="1"/>
    <col min="9484" max="9484" width="11.88671875" style="2" customWidth="1"/>
    <col min="9485" max="9485" width="12.44140625" style="2" bestFit="1" customWidth="1"/>
    <col min="9486" max="9487" width="11.33203125" style="2" customWidth="1"/>
    <col min="9488" max="9488" width="12.44140625" style="2" bestFit="1" customWidth="1"/>
    <col min="9489" max="9489" width="11.33203125" style="2" customWidth="1"/>
    <col min="9490" max="9491" width="8.88671875" style="2"/>
    <col min="9492" max="9492" width="11.33203125" style="2" bestFit="1" customWidth="1"/>
    <col min="9493" max="9733" width="8.88671875" style="2"/>
    <col min="9734" max="9734" width="24" style="2" customWidth="1"/>
    <col min="9735" max="9735" width="3.5546875" style="2" customWidth="1"/>
    <col min="9736" max="9736" width="8.88671875" style="2"/>
    <col min="9737" max="9737" width="9.6640625" style="2" bestFit="1" customWidth="1"/>
    <col min="9738" max="9738" width="12.44140625" style="2" customWidth="1"/>
    <col min="9739" max="9739" width="11.44140625" style="2" customWidth="1"/>
    <col min="9740" max="9740" width="11.88671875" style="2" customWidth="1"/>
    <col min="9741" max="9741" width="12.44140625" style="2" bestFit="1" customWidth="1"/>
    <col min="9742" max="9743" width="11.33203125" style="2" customWidth="1"/>
    <col min="9744" max="9744" width="12.44140625" style="2" bestFit="1" customWidth="1"/>
    <col min="9745" max="9745" width="11.33203125" style="2" customWidth="1"/>
    <col min="9746" max="9747" width="8.88671875" style="2"/>
    <col min="9748" max="9748" width="11.33203125" style="2" bestFit="1" customWidth="1"/>
    <col min="9749" max="9989" width="8.88671875" style="2"/>
    <col min="9990" max="9990" width="24" style="2" customWidth="1"/>
    <col min="9991" max="9991" width="3.5546875" style="2" customWidth="1"/>
    <col min="9992" max="9992" width="8.88671875" style="2"/>
    <col min="9993" max="9993" width="9.6640625" style="2" bestFit="1" customWidth="1"/>
    <col min="9994" max="9994" width="12.44140625" style="2" customWidth="1"/>
    <col min="9995" max="9995" width="11.44140625" style="2" customWidth="1"/>
    <col min="9996" max="9996" width="11.88671875" style="2" customWidth="1"/>
    <col min="9997" max="9997" width="12.44140625" style="2" bestFit="1" customWidth="1"/>
    <col min="9998" max="9999" width="11.33203125" style="2" customWidth="1"/>
    <col min="10000" max="10000" width="12.44140625" style="2" bestFit="1" customWidth="1"/>
    <col min="10001" max="10001" width="11.33203125" style="2" customWidth="1"/>
    <col min="10002" max="10003" width="8.88671875" style="2"/>
    <col min="10004" max="10004" width="11.33203125" style="2" bestFit="1" customWidth="1"/>
    <col min="10005" max="10245" width="8.88671875" style="2"/>
    <col min="10246" max="10246" width="24" style="2" customWidth="1"/>
    <col min="10247" max="10247" width="3.5546875" style="2" customWidth="1"/>
    <col min="10248" max="10248" width="8.88671875" style="2"/>
    <col min="10249" max="10249" width="9.6640625" style="2" bestFit="1" customWidth="1"/>
    <col min="10250" max="10250" width="12.44140625" style="2" customWidth="1"/>
    <col min="10251" max="10251" width="11.44140625" style="2" customWidth="1"/>
    <col min="10252" max="10252" width="11.88671875" style="2" customWidth="1"/>
    <col min="10253" max="10253" width="12.44140625" style="2" bestFit="1" customWidth="1"/>
    <col min="10254" max="10255" width="11.33203125" style="2" customWidth="1"/>
    <col min="10256" max="10256" width="12.44140625" style="2" bestFit="1" customWidth="1"/>
    <col min="10257" max="10257" width="11.33203125" style="2" customWidth="1"/>
    <col min="10258" max="10259" width="8.88671875" style="2"/>
    <col min="10260" max="10260" width="11.33203125" style="2" bestFit="1" customWidth="1"/>
    <col min="10261" max="10501" width="8.88671875" style="2"/>
    <col min="10502" max="10502" width="24" style="2" customWidth="1"/>
    <col min="10503" max="10503" width="3.5546875" style="2" customWidth="1"/>
    <col min="10504" max="10504" width="8.88671875" style="2"/>
    <col min="10505" max="10505" width="9.6640625" style="2" bestFit="1" customWidth="1"/>
    <col min="10506" max="10506" width="12.44140625" style="2" customWidth="1"/>
    <col min="10507" max="10507" width="11.44140625" style="2" customWidth="1"/>
    <col min="10508" max="10508" width="11.88671875" style="2" customWidth="1"/>
    <col min="10509" max="10509" width="12.44140625" style="2" bestFit="1" customWidth="1"/>
    <col min="10510" max="10511" width="11.33203125" style="2" customWidth="1"/>
    <col min="10512" max="10512" width="12.44140625" style="2" bestFit="1" customWidth="1"/>
    <col min="10513" max="10513" width="11.33203125" style="2" customWidth="1"/>
    <col min="10514" max="10515" width="8.88671875" style="2"/>
    <col min="10516" max="10516" width="11.33203125" style="2" bestFit="1" customWidth="1"/>
    <col min="10517" max="10757" width="8.88671875" style="2"/>
    <col min="10758" max="10758" width="24" style="2" customWidth="1"/>
    <col min="10759" max="10759" width="3.5546875" style="2" customWidth="1"/>
    <col min="10760" max="10760" width="8.88671875" style="2"/>
    <col min="10761" max="10761" width="9.6640625" style="2" bestFit="1" customWidth="1"/>
    <col min="10762" max="10762" width="12.44140625" style="2" customWidth="1"/>
    <col min="10763" max="10763" width="11.44140625" style="2" customWidth="1"/>
    <col min="10764" max="10764" width="11.88671875" style="2" customWidth="1"/>
    <col min="10765" max="10765" width="12.44140625" style="2" bestFit="1" customWidth="1"/>
    <col min="10766" max="10767" width="11.33203125" style="2" customWidth="1"/>
    <col min="10768" max="10768" width="12.44140625" style="2" bestFit="1" customWidth="1"/>
    <col min="10769" max="10769" width="11.33203125" style="2" customWidth="1"/>
    <col min="10770" max="10771" width="8.88671875" style="2"/>
    <col min="10772" max="10772" width="11.33203125" style="2" bestFit="1" customWidth="1"/>
    <col min="10773" max="11013" width="8.88671875" style="2"/>
    <col min="11014" max="11014" width="24" style="2" customWidth="1"/>
    <col min="11015" max="11015" width="3.5546875" style="2" customWidth="1"/>
    <col min="11016" max="11016" width="8.88671875" style="2"/>
    <col min="11017" max="11017" width="9.6640625" style="2" bestFit="1" customWidth="1"/>
    <col min="11018" max="11018" width="12.44140625" style="2" customWidth="1"/>
    <col min="11019" max="11019" width="11.44140625" style="2" customWidth="1"/>
    <col min="11020" max="11020" width="11.88671875" style="2" customWidth="1"/>
    <col min="11021" max="11021" width="12.44140625" style="2" bestFit="1" customWidth="1"/>
    <col min="11022" max="11023" width="11.33203125" style="2" customWidth="1"/>
    <col min="11024" max="11024" width="12.44140625" style="2" bestFit="1" customWidth="1"/>
    <col min="11025" max="11025" width="11.33203125" style="2" customWidth="1"/>
    <col min="11026" max="11027" width="8.88671875" style="2"/>
    <col min="11028" max="11028" width="11.33203125" style="2" bestFit="1" customWidth="1"/>
    <col min="11029" max="11269" width="8.88671875" style="2"/>
    <col min="11270" max="11270" width="24" style="2" customWidth="1"/>
    <col min="11271" max="11271" width="3.5546875" style="2" customWidth="1"/>
    <col min="11272" max="11272" width="8.88671875" style="2"/>
    <col min="11273" max="11273" width="9.6640625" style="2" bestFit="1" customWidth="1"/>
    <col min="11274" max="11274" width="12.44140625" style="2" customWidth="1"/>
    <col min="11275" max="11275" width="11.44140625" style="2" customWidth="1"/>
    <col min="11276" max="11276" width="11.88671875" style="2" customWidth="1"/>
    <col min="11277" max="11277" width="12.44140625" style="2" bestFit="1" customWidth="1"/>
    <col min="11278" max="11279" width="11.33203125" style="2" customWidth="1"/>
    <col min="11280" max="11280" width="12.44140625" style="2" bestFit="1" customWidth="1"/>
    <col min="11281" max="11281" width="11.33203125" style="2" customWidth="1"/>
    <col min="11282" max="11283" width="8.88671875" style="2"/>
    <col min="11284" max="11284" width="11.33203125" style="2" bestFit="1" customWidth="1"/>
    <col min="11285" max="11525" width="8.88671875" style="2"/>
    <col min="11526" max="11526" width="24" style="2" customWidth="1"/>
    <col min="11527" max="11527" width="3.5546875" style="2" customWidth="1"/>
    <col min="11528" max="11528" width="8.88671875" style="2"/>
    <col min="11529" max="11529" width="9.6640625" style="2" bestFit="1" customWidth="1"/>
    <col min="11530" max="11530" width="12.44140625" style="2" customWidth="1"/>
    <col min="11531" max="11531" width="11.44140625" style="2" customWidth="1"/>
    <col min="11532" max="11532" width="11.88671875" style="2" customWidth="1"/>
    <col min="11533" max="11533" width="12.44140625" style="2" bestFit="1" customWidth="1"/>
    <col min="11534" max="11535" width="11.33203125" style="2" customWidth="1"/>
    <col min="11536" max="11536" width="12.44140625" style="2" bestFit="1" customWidth="1"/>
    <col min="11537" max="11537" width="11.33203125" style="2" customWidth="1"/>
    <col min="11538" max="11539" width="8.88671875" style="2"/>
    <col min="11540" max="11540" width="11.33203125" style="2" bestFit="1" customWidth="1"/>
    <col min="11541" max="11781" width="8.88671875" style="2"/>
    <col min="11782" max="11782" width="24" style="2" customWidth="1"/>
    <col min="11783" max="11783" width="3.5546875" style="2" customWidth="1"/>
    <col min="11784" max="11784" width="8.88671875" style="2"/>
    <col min="11785" max="11785" width="9.6640625" style="2" bestFit="1" customWidth="1"/>
    <col min="11786" max="11786" width="12.44140625" style="2" customWidth="1"/>
    <col min="11787" max="11787" width="11.44140625" style="2" customWidth="1"/>
    <col min="11788" max="11788" width="11.88671875" style="2" customWidth="1"/>
    <col min="11789" max="11789" width="12.44140625" style="2" bestFit="1" customWidth="1"/>
    <col min="11790" max="11791" width="11.33203125" style="2" customWidth="1"/>
    <col min="11792" max="11792" width="12.44140625" style="2" bestFit="1" customWidth="1"/>
    <col min="11793" max="11793" width="11.33203125" style="2" customWidth="1"/>
    <col min="11794" max="11795" width="8.88671875" style="2"/>
    <col min="11796" max="11796" width="11.33203125" style="2" bestFit="1" customWidth="1"/>
    <col min="11797" max="12037" width="8.88671875" style="2"/>
    <col min="12038" max="12038" width="24" style="2" customWidth="1"/>
    <col min="12039" max="12039" width="3.5546875" style="2" customWidth="1"/>
    <col min="12040" max="12040" width="8.88671875" style="2"/>
    <col min="12041" max="12041" width="9.6640625" style="2" bestFit="1" customWidth="1"/>
    <col min="12042" max="12042" width="12.44140625" style="2" customWidth="1"/>
    <col min="12043" max="12043" width="11.44140625" style="2" customWidth="1"/>
    <col min="12044" max="12044" width="11.88671875" style="2" customWidth="1"/>
    <col min="12045" max="12045" width="12.44140625" style="2" bestFit="1" customWidth="1"/>
    <col min="12046" max="12047" width="11.33203125" style="2" customWidth="1"/>
    <col min="12048" max="12048" width="12.44140625" style="2" bestFit="1" customWidth="1"/>
    <col min="12049" max="12049" width="11.33203125" style="2" customWidth="1"/>
    <col min="12050" max="12051" width="8.88671875" style="2"/>
    <col min="12052" max="12052" width="11.33203125" style="2" bestFit="1" customWidth="1"/>
    <col min="12053" max="12293" width="8.88671875" style="2"/>
    <col min="12294" max="12294" width="24" style="2" customWidth="1"/>
    <col min="12295" max="12295" width="3.5546875" style="2" customWidth="1"/>
    <col min="12296" max="12296" width="8.88671875" style="2"/>
    <col min="12297" max="12297" width="9.6640625" style="2" bestFit="1" customWidth="1"/>
    <col min="12298" max="12298" width="12.44140625" style="2" customWidth="1"/>
    <col min="12299" max="12299" width="11.44140625" style="2" customWidth="1"/>
    <col min="12300" max="12300" width="11.88671875" style="2" customWidth="1"/>
    <col min="12301" max="12301" width="12.44140625" style="2" bestFit="1" customWidth="1"/>
    <col min="12302" max="12303" width="11.33203125" style="2" customWidth="1"/>
    <col min="12304" max="12304" width="12.44140625" style="2" bestFit="1" customWidth="1"/>
    <col min="12305" max="12305" width="11.33203125" style="2" customWidth="1"/>
    <col min="12306" max="12307" width="8.88671875" style="2"/>
    <col min="12308" max="12308" width="11.33203125" style="2" bestFit="1" customWidth="1"/>
    <col min="12309" max="12549" width="8.88671875" style="2"/>
    <col min="12550" max="12550" width="24" style="2" customWidth="1"/>
    <col min="12551" max="12551" width="3.5546875" style="2" customWidth="1"/>
    <col min="12552" max="12552" width="8.88671875" style="2"/>
    <col min="12553" max="12553" width="9.6640625" style="2" bestFit="1" customWidth="1"/>
    <col min="12554" max="12554" width="12.44140625" style="2" customWidth="1"/>
    <col min="12555" max="12555" width="11.44140625" style="2" customWidth="1"/>
    <col min="12556" max="12556" width="11.88671875" style="2" customWidth="1"/>
    <col min="12557" max="12557" width="12.44140625" style="2" bestFit="1" customWidth="1"/>
    <col min="12558" max="12559" width="11.33203125" style="2" customWidth="1"/>
    <col min="12560" max="12560" width="12.44140625" style="2" bestFit="1" customWidth="1"/>
    <col min="12561" max="12561" width="11.33203125" style="2" customWidth="1"/>
    <col min="12562" max="12563" width="8.88671875" style="2"/>
    <col min="12564" max="12564" width="11.33203125" style="2" bestFit="1" customWidth="1"/>
    <col min="12565" max="12805" width="8.88671875" style="2"/>
    <col min="12806" max="12806" width="24" style="2" customWidth="1"/>
    <col min="12807" max="12807" width="3.5546875" style="2" customWidth="1"/>
    <col min="12808" max="12808" width="8.88671875" style="2"/>
    <col min="12809" max="12809" width="9.6640625" style="2" bestFit="1" customWidth="1"/>
    <col min="12810" max="12810" width="12.44140625" style="2" customWidth="1"/>
    <col min="12811" max="12811" width="11.44140625" style="2" customWidth="1"/>
    <col min="12812" max="12812" width="11.88671875" style="2" customWidth="1"/>
    <col min="12813" max="12813" width="12.44140625" style="2" bestFit="1" customWidth="1"/>
    <col min="12814" max="12815" width="11.33203125" style="2" customWidth="1"/>
    <col min="12816" max="12816" width="12.44140625" style="2" bestFit="1" customWidth="1"/>
    <col min="12817" max="12817" width="11.33203125" style="2" customWidth="1"/>
    <col min="12818" max="12819" width="8.88671875" style="2"/>
    <col min="12820" max="12820" width="11.33203125" style="2" bestFit="1" customWidth="1"/>
    <col min="12821" max="13061" width="8.88671875" style="2"/>
    <col min="13062" max="13062" width="24" style="2" customWidth="1"/>
    <col min="13063" max="13063" width="3.5546875" style="2" customWidth="1"/>
    <col min="13064" max="13064" width="8.88671875" style="2"/>
    <col min="13065" max="13065" width="9.6640625" style="2" bestFit="1" customWidth="1"/>
    <col min="13066" max="13066" width="12.44140625" style="2" customWidth="1"/>
    <col min="13067" max="13067" width="11.44140625" style="2" customWidth="1"/>
    <col min="13068" max="13068" width="11.88671875" style="2" customWidth="1"/>
    <col min="13069" max="13069" width="12.44140625" style="2" bestFit="1" customWidth="1"/>
    <col min="13070" max="13071" width="11.33203125" style="2" customWidth="1"/>
    <col min="13072" max="13072" width="12.44140625" style="2" bestFit="1" customWidth="1"/>
    <col min="13073" max="13073" width="11.33203125" style="2" customWidth="1"/>
    <col min="13074" max="13075" width="8.88671875" style="2"/>
    <col min="13076" max="13076" width="11.33203125" style="2" bestFit="1" customWidth="1"/>
    <col min="13077" max="13317" width="8.88671875" style="2"/>
    <col min="13318" max="13318" width="24" style="2" customWidth="1"/>
    <col min="13319" max="13319" width="3.5546875" style="2" customWidth="1"/>
    <col min="13320" max="13320" width="8.88671875" style="2"/>
    <col min="13321" max="13321" width="9.6640625" style="2" bestFit="1" customWidth="1"/>
    <col min="13322" max="13322" width="12.44140625" style="2" customWidth="1"/>
    <col min="13323" max="13323" width="11.44140625" style="2" customWidth="1"/>
    <col min="13324" max="13324" width="11.88671875" style="2" customWidth="1"/>
    <col min="13325" max="13325" width="12.44140625" style="2" bestFit="1" customWidth="1"/>
    <col min="13326" max="13327" width="11.33203125" style="2" customWidth="1"/>
    <col min="13328" max="13328" width="12.44140625" style="2" bestFit="1" customWidth="1"/>
    <col min="13329" max="13329" width="11.33203125" style="2" customWidth="1"/>
    <col min="13330" max="13331" width="8.88671875" style="2"/>
    <col min="13332" max="13332" width="11.33203125" style="2" bestFit="1" customWidth="1"/>
    <col min="13333" max="13573" width="8.88671875" style="2"/>
    <col min="13574" max="13574" width="24" style="2" customWidth="1"/>
    <col min="13575" max="13575" width="3.5546875" style="2" customWidth="1"/>
    <col min="13576" max="13576" width="8.88671875" style="2"/>
    <col min="13577" max="13577" width="9.6640625" style="2" bestFit="1" customWidth="1"/>
    <col min="13578" max="13578" width="12.44140625" style="2" customWidth="1"/>
    <col min="13579" max="13579" width="11.44140625" style="2" customWidth="1"/>
    <col min="13580" max="13580" width="11.88671875" style="2" customWidth="1"/>
    <col min="13581" max="13581" width="12.44140625" style="2" bestFit="1" customWidth="1"/>
    <col min="13582" max="13583" width="11.33203125" style="2" customWidth="1"/>
    <col min="13584" max="13584" width="12.44140625" style="2" bestFit="1" customWidth="1"/>
    <col min="13585" max="13585" width="11.33203125" style="2" customWidth="1"/>
    <col min="13586" max="13587" width="8.88671875" style="2"/>
    <col min="13588" max="13588" width="11.33203125" style="2" bestFit="1" customWidth="1"/>
    <col min="13589" max="13829" width="8.88671875" style="2"/>
    <col min="13830" max="13830" width="24" style="2" customWidth="1"/>
    <col min="13831" max="13831" width="3.5546875" style="2" customWidth="1"/>
    <col min="13832" max="13832" width="8.88671875" style="2"/>
    <col min="13833" max="13833" width="9.6640625" style="2" bestFit="1" customWidth="1"/>
    <col min="13834" max="13834" width="12.44140625" style="2" customWidth="1"/>
    <col min="13835" max="13835" width="11.44140625" style="2" customWidth="1"/>
    <col min="13836" max="13836" width="11.88671875" style="2" customWidth="1"/>
    <col min="13837" max="13837" width="12.44140625" style="2" bestFit="1" customWidth="1"/>
    <col min="13838" max="13839" width="11.33203125" style="2" customWidth="1"/>
    <col min="13840" max="13840" width="12.44140625" style="2" bestFit="1" customWidth="1"/>
    <col min="13841" max="13841" width="11.33203125" style="2" customWidth="1"/>
    <col min="13842" max="13843" width="8.88671875" style="2"/>
    <col min="13844" max="13844" width="11.33203125" style="2" bestFit="1" customWidth="1"/>
    <col min="13845" max="14085" width="8.88671875" style="2"/>
    <col min="14086" max="14086" width="24" style="2" customWidth="1"/>
    <col min="14087" max="14087" width="3.5546875" style="2" customWidth="1"/>
    <col min="14088" max="14088" width="8.88671875" style="2"/>
    <col min="14089" max="14089" width="9.6640625" style="2" bestFit="1" customWidth="1"/>
    <col min="14090" max="14090" width="12.44140625" style="2" customWidth="1"/>
    <col min="14091" max="14091" width="11.44140625" style="2" customWidth="1"/>
    <col min="14092" max="14092" width="11.88671875" style="2" customWidth="1"/>
    <col min="14093" max="14093" width="12.44140625" style="2" bestFit="1" customWidth="1"/>
    <col min="14094" max="14095" width="11.33203125" style="2" customWidth="1"/>
    <col min="14096" max="14096" width="12.44140625" style="2" bestFit="1" customWidth="1"/>
    <col min="14097" max="14097" width="11.33203125" style="2" customWidth="1"/>
    <col min="14098" max="14099" width="8.88671875" style="2"/>
    <col min="14100" max="14100" width="11.33203125" style="2" bestFit="1" customWidth="1"/>
    <col min="14101" max="14341" width="8.88671875" style="2"/>
    <col min="14342" max="14342" width="24" style="2" customWidth="1"/>
    <col min="14343" max="14343" width="3.5546875" style="2" customWidth="1"/>
    <col min="14344" max="14344" width="8.88671875" style="2"/>
    <col min="14345" max="14345" width="9.6640625" style="2" bestFit="1" customWidth="1"/>
    <col min="14346" max="14346" width="12.44140625" style="2" customWidth="1"/>
    <col min="14347" max="14347" width="11.44140625" style="2" customWidth="1"/>
    <col min="14348" max="14348" width="11.88671875" style="2" customWidth="1"/>
    <col min="14349" max="14349" width="12.44140625" style="2" bestFit="1" customWidth="1"/>
    <col min="14350" max="14351" width="11.33203125" style="2" customWidth="1"/>
    <col min="14352" max="14352" width="12.44140625" style="2" bestFit="1" customWidth="1"/>
    <col min="14353" max="14353" width="11.33203125" style="2" customWidth="1"/>
    <col min="14354" max="14355" width="8.88671875" style="2"/>
    <col min="14356" max="14356" width="11.33203125" style="2" bestFit="1" customWidth="1"/>
    <col min="14357" max="14597" width="8.88671875" style="2"/>
    <col min="14598" max="14598" width="24" style="2" customWidth="1"/>
    <col min="14599" max="14599" width="3.5546875" style="2" customWidth="1"/>
    <col min="14600" max="14600" width="8.88671875" style="2"/>
    <col min="14601" max="14601" width="9.6640625" style="2" bestFit="1" customWidth="1"/>
    <col min="14602" max="14602" width="12.44140625" style="2" customWidth="1"/>
    <col min="14603" max="14603" width="11.44140625" style="2" customWidth="1"/>
    <col min="14604" max="14604" width="11.88671875" style="2" customWidth="1"/>
    <col min="14605" max="14605" width="12.44140625" style="2" bestFit="1" customWidth="1"/>
    <col min="14606" max="14607" width="11.33203125" style="2" customWidth="1"/>
    <col min="14608" max="14608" width="12.44140625" style="2" bestFit="1" customWidth="1"/>
    <col min="14609" max="14609" width="11.33203125" style="2" customWidth="1"/>
    <col min="14610" max="14611" width="8.88671875" style="2"/>
    <col min="14612" max="14612" width="11.33203125" style="2" bestFit="1" customWidth="1"/>
    <col min="14613" max="14853" width="8.88671875" style="2"/>
    <col min="14854" max="14854" width="24" style="2" customWidth="1"/>
    <col min="14855" max="14855" width="3.5546875" style="2" customWidth="1"/>
    <col min="14856" max="14856" width="8.88671875" style="2"/>
    <col min="14857" max="14857" width="9.6640625" style="2" bestFit="1" customWidth="1"/>
    <col min="14858" max="14858" width="12.44140625" style="2" customWidth="1"/>
    <col min="14859" max="14859" width="11.44140625" style="2" customWidth="1"/>
    <col min="14860" max="14860" width="11.88671875" style="2" customWidth="1"/>
    <col min="14861" max="14861" width="12.44140625" style="2" bestFit="1" customWidth="1"/>
    <col min="14862" max="14863" width="11.33203125" style="2" customWidth="1"/>
    <col min="14864" max="14864" width="12.44140625" style="2" bestFit="1" customWidth="1"/>
    <col min="14865" max="14865" width="11.33203125" style="2" customWidth="1"/>
    <col min="14866" max="14867" width="8.88671875" style="2"/>
    <col min="14868" max="14868" width="11.33203125" style="2" bestFit="1" customWidth="1"/>
    <col min="14869" max="15109" width="8.88671875" style="2"/>
    <col min="15110" max="15110" width="24" style="2" customWidth="1"/>
    <col min="15111" max="15111" width="3.5546875" style="2" customWidth="1"/>
    <col min="15112" max="15112" width="8.88671875" style="2"/>
    <col min="15113" max="15113" width="9.6640625" style="2" bestFit="1" customWidth="1"/>
    <col min="15114" max="15114" width="12.44140625" style="2" customWidth="1"/>
    <col min="15115" max="15115" width="11.44140625" style="2" customWidth="1"/>
    <col min="15116" max="15116" width="11.88671875" style="2" customWidth="1"/>
    <col min="15117" max="15117" width="12.44140625" style="2" bestFit="1" customWidth="1"/>
    <col min="15118" max="15119" width="11.33203125" style="2" customWidth="1"/>
    <col min="15120" max="15120" width="12.44140625" style="2" bestFit="1" customWidth="1"/>
    <col min="15121" max="15121" width="11.33203125" style="2" customWidth="1"/>
    <col min="15122" max="15123" width="8.88671875" style="2"/>
    <col min="15124" max="15124" width="11.33203125" style="2" bestFit="1" customWidth="1"/>
    <col min="15125" max="15365" width="8.88671875" style="2"/>
    <col min="15366" max="15366" width="24" style="2" customWidth="1"/>
    <col min="15367" max="15367" width="3.5546875" style="2" customWidth="1"/>
    <col min="15368" max="15368" width="8.88671875" style="2"/>
    <col min="15369" max="15369" width="9.6640625" style="2" bestFit="1" customWidth="1"/>
    <col min="15370" max="15370" width="12.44140625" style="2" customWidth="1"/>
    <col min="15371" max="15371" width="11.44140625" style="2" customWidth="1"/>
    <col min="15372" max="15372" width="11.88671875" style="2" customWidth="1"/>
    <col min="15373" max="15373" width="12.44140625" style="2" bestFit="1" customWidth="1"/>
    <col min="15374" max="15375" width="11.33203125" style="2" customWidth="1"/>
    <col min="15376" max="15376" width="12.44140625" style="2" bestFit="1" customWidth="1"/>
    <col min="15377" max="15377" width="11.33203125" style="2" customWidth="1"/>
    <col min="15378" max="15379" width="8.88671875" style="2"/>
    <col min="15380" max="15380" width="11.33203125" style="2" bestFit="1" customWidth="1"/>
    <col min="15381" max="15621" width="8.88671875" style="2"/>
    <col min="15622" max="15622" width="24" style="2" customWidth="1"/>
    <col min="15623" max="15623" width="3.5546875" style="2" customWidth="1"/>
    <col min="15624" max="15624" width="8.88671875" style="2"/>
    <col min="15625" max="15625" width="9.6640625" style="2" bestFit="1" customWidth="1"/>
    <col min="15626" max="15626" width="12.44140625" style="2" customWidth="1"/>
    <col min="15627" max="15627" width="11.44140625" style="2" customWidth="1"/>
    <col min="15628" max="15628" width="11.88671875" style="2" customWidth="1"/>
    <col min="15629" max="15629" width="12.44140625" style="2" bestFit="1" customWidth="1"/>
    <col min="15630" max="15631" width="11.33203125" style="2" customWidth="1"/>
    <col min="15632" max="15632" width="12.44140625" style="2" bestFit="1" customWidth="1"/>
    <col min="15633" max="15633" width="11.33203125" style="2" customWidth="1"/>
    <col min="15634" max="15635" width="8.88671875" style="2"/>
    <col min="15636" max="15636" width="11.33203125" style="2" bestFit="1" customWidth="1"/>
    <col min="15637" max="15877" width="8.88671875" style="2"/>
    <col min="15878" max="15878" width="24" style="2" customWidth="1"/>
    <col min="15879" max="15879" width="3.5546875" style="2" customWidth="1"/>
    <col min="15880" max="15880" width="8.88671875" style="2"/>
    <col min="15881" max="15881" width="9.6640625" style="2" bestFit="1" customWidth="1"/>
    <col min="15882" max="15882" width="12.44140625" style="2" customWidth="1"/>
    <col min="15883" max="15883" width="11.44140625" style="2" customWidth="1"/>
    <col min="15884" max="15884" width="11.88671875" style="2" customWidth="1"/>
    <col min="15885" max="15885" width="12.44140625" style="2" bestFit="1" customWidth="1"/>
    <col min="15886" max="15887" width="11.33203125" style="2" customWidth="1"/>
    <col min="15888" max="15888" width="12.44140625" style="2" bestFit="1" customWidth="1"/>
    <col min="15889" max="15889" width="11.33203125" style="2" customWidth="1"/>
    <col min="15890" max="15891" width="8.88671875" style="2"/>
    <col min="15892" max="15892" width="11.33203125" style="2" bestFit="1" customWidth="1"/>
    <col min="15893" max="16133" width="8.88671875" style="2"/>
    <col min="16134" max="16134" width="24" style="2" customWidth="1"/>
    <col min="16135" max="16135" width="3.5546875" style="2" customWidth="1"/>
    <col min="16136" max="16136" width="8.88671875" style="2"/>
    <col min="16137" max="16137" width="9.6640625" style="2" bestFit="1" customWidth="1"/>
    <col min="16138" max="16138" width="12.44140625" style="2" customWidth="1"/>
    <col min="16139" max="16139" width="11.44140625" style="2" customWidth="1"/>
    <col min="16140" max="16140" width="11.88671875" style="2" customWidth="1"/>
    <col min="16141" max="16141" width="12.44140625" style="2" bestFit="1" customWidth="1"/>
    <col min="16142" max="16143" width="11.33203125" style="2" customWidth="1"/>
    <col min="16144" max="16144" width="12.44140625" style="2" bestFit="1" customWidth="1"/>
    <col min="16145" max="16145" width="11.33203125" style="2" customWidth="1"/>
    <col min="16146" max="16147" width="8.88671875" style="2"/>
    <col min="16148" max="16148" width="11.33203125" style="2" bestFit="1" customWidth="1"/>
    <col min="16149" max="16384" width="8.88671875" style="2"/>
  </cols>
  <sheetData>
    <row r="1" spans="1:20" x14ac:dyDescent="0.2">
      <c r="A1" s="1" t="s">
        <v>0</v>
      </c>
    </row>
    <row r="2" spans="1:20" x14ac:dyDescent="0.2">
      <c r="A2" s="1" t="s">
        <v>1</v>
      </c>
    </row>
    <row r="3" spans="1:20" x14ac:dyDescent="0.2">
      <c r="A3" s="1" t="s">
        <v>28</v>
      </c>
    </row>
    <row r="4" spans="1:20" x14ac:dyDescent="0.2">
      <c r="F4" s="1" t="s">
        <v>29</v>
      </c>
      <c r="I4" s="3" t="s">
        <v>2</v>
      </c>
      <c r="L4" s="3" t="s">
        <v>3</v>
      </c>
      <c r="M4" s="1"/>
      <c r="N4" s="1"/>
      <c r="O4" s="3" t="s">
        <v>4</v>
      </c>
      <c r="P4" s="1"/>
      <c r="Q4" s="1"/>
    </row>
    <row r="5" spans="1:20" x14ac:dyDescent="0.2">
      <c r="D5" s="4" t="s">
        <v>5</v>
      </c>
      <c r="E5" s="4"/>
      <c r="F5" s="4"/>
      <c r="G5" s="5" t="s">
        <v>7</v>
      </c>
      <c r="H5" s="4"/>
      <c r="I5" s="5" t="s">
        <v>6</v>
      </c>
      <c r="J5" s="5" t="s">
        <v>7</v>
      </c>
      <c r="K5" s="4"/>
      <c r="L5" s="5" t="s">
        <v>6</v>
      </c>
      <c r="M5" s="5" t="s">
        <v>7</v>
      </c>
      <c r="N5" s="5"/>
      <c r="O5" s="5" t="s">
        <v>7</v>
      </c>
      <c r="P5" s="5" t="s">
        <v>7</v>
      </c>
      <c r="Q5" s="5"/>
    </row>
    <row r="6" spans="1:20" x14ac:dyDescent="0.2">
      <c r="A6" s="1" t="s">
        <v>8</v>
      </c>
    </row>
    <row r="7" spans="1:20" x14ac:dyDescent="0.2">
      <c r="A7" s="2" t="s">
        <v>9</v>
      </c>
      <c r="G7" s="58">
        <f>accountsye311224!C6</f>
        <v>5774.52</v>
      </c>
      <c r="I7" s="6"/>
      <c r="J7" s="6">
        <v>3254.98</v>
      </c>
      <c r="L7" s="6"/>
      <c r="M7" s="6">
        <f>-'[1]TB 2022'!J10</f>
        <v>3283.9500000000003</v>
      </c>
      <c r="N7" s="6"/>
      <c r="O7" s="6"/>
      <c r="P7" s="6">
        <v>3025.83</v>
      </c>
      <c r="Q7" s="6"/>
    </row>
    <row r="8" spans="1:20" x14ac:dyDescent="0.2">
      <c r="A8" s="2" t="s">
        <v>10</v>
      </c>
      <c r="D8" s="5">
        <v>3</v>
      </c>
      <c r="E8" s="5"/>
      <c r="F8" s="5"/>
      <c r="G8" s="58">
        <f>accountsye311224!C13</f>
        <v>6253.16</v>
      </c>
      <c r="H8" s="5"/>
      <c r="I8" s="6"/>
      <c r="J8" s="6">
        <f>-'[1]TB 2022'!G13</f>
        <v>0</v>
      </c>
      <c r="K8" s="5"/>
      <c r="L8" s="6"/>
      <c r="M8" s="6">
        <f>-'[1]TB 2022'!J13</f>
        <v>5757.58</v>
      </c>
      <c r="N8" s="6"/>
      <c r="O8" s="6"/>
      <c r="P8" s="6">
        <v>5345.9</v>
      </c>
      <c r="Q8" s="6"/>
    </row>
    <row r="9" spans="1:20" x14ac:dyDescent="0.2">
      <c r="A9" s="2" t="s">
        <v>11</v>
      </c>
      <c r="D9" s="5">
        <v>2</v>
      </c>
      <c r="E9" s="5"/>
      <c r="F9" s="5"/>
      <c r="G9" s="58">
        <f>accountsye311224!C10+accountsye311224!C11</f>
        <v>2696.25</v>
      </c>
      <c r="H9" s="5"/>
      <c r="I9" s="6"/>
      <c r="J9" s="6">
        <v>2788.93</v>
      </c>
      <c r="K9" s="5"/>
      <c r="L9" s="6"/>
      <c r="M9" s="6">
        <f>-'[1]TB 2022'!J12</f>
        <v>768</v>
      </c>
      <c r="N9" s="6"/>
      <c r="O9" s="6"/>
      <c r="P9" s="6">
        <v>304.2</v>
      </c>
      <c r="Q9" s="6"/>
    </row>
    <row r="10" spans="1:20" x14ac:dyDescent="0.2">
      <c r="A10" s="2" t="s">
        <v>12</v>
      </c>
      <c r="D10" s="5">
        <v>4</v>
      </c>
      <c r="E10" s="5"/>
      <c r="F10" s="5"/>
      <c r="G10" s="58">
        <f>accountsye311224!C7+accountsye311224!C8</f>
        <v>5566.92</v>
      </c>
      <c r="H10" s="5"/>
      <c r="I10" s="6"/>
      <c r="J10" s="6">
        <v>5554.98</v>
      </c>
      <c r="K10" s="5"/>
      <c r="L10" s="6"/>
      <c r="M10" s="6">
        <f>-'[1]TB 2022'!J11</f>
        <v>4484.96</v>
      </c>
      <c r="N10" s="6"/>
      <c r="O10" s="6"/>
      <c r="P10" s="6">
        <v>1734.04</v>
      </c>
      <c r="Q10" s="6"/>
    </row>
    <row r="11" spans="1:20" x14ac:dyDescent="0.2">
      <c r="A11" s="2" t="s">
        <v>114</v>
      </c>
      <c r="D11" s="5"/>
      <c r="E11" s="5"/>
      <c r="F11" s="5"/>
      <c r="G11" s="58">
        <f>accountsye311224!C12</f>
        <v>700</v>
      </c>
      <c r="H11" s="5"/>
      <c r="I11" s="6"/>
      <c r="J11" s="6"/>
      <c r="K11" s="5"/>
      <c r="L11" s="6"/>
      <c r="M11" s="6"/>
      <c r="N11" s="6"/>
      <c r="O11" s="6"/>
      <c r="P11" s="6"/>
      <c r="Q11" s="6"/>
    </row>
    <row r="12" spans="1:20" x14ac:dyDescent="0.2">
      <c r="A12" s="2" t="s">
        <v>13</v>
      </c>
      <c r="D12" s="5"/>
      <c r="E12" s="5"/>
      <c r="F12" s="5"/>
      <c r="G12" s="58">
        <f>accountsye311224!C22</f>
        <v>0</v>
      </c>
      <c r="H12" s="5"/>
      <c r="I12" s="6"/>
      <c r="J12" s="6">
        <v>500</v>
      </c>
      <c r="K12" s="5"/>
      <c r="L12" s="6"/>
      <c r="M12" s="6">
        <v>0</v>
      </c>
      <c r="N12" s="6"/>
      <c r="O12" s="6"/>
      <c r="P12" s="6"/>
      <c r="Q12" s="6"/>
      <c r="T12" s="8"/>
    </row>
    <row r="13" spans="1:20" x14ac:dyDescent="0.2">
      <c r="A13" s="2" t="s">
        <v>115</v>
      </c>
      <c r="D13" s="5"/>
      <c r="E13" s="5"/>
      <c r="F13" s="5"/>
      <c r="G13" s="58">
        <f>accountsye311224!C19+accountsye311224!C20</f>
        <v>8834.0300000000007</v>
      </c>
      <c r="H13" s="5"/>
      <c r="I13" s="6"/>
      <c r="J13" s="6"/>
      <c r="K13" s="5"/>
      <c r="L13" s="6"/>
      <c r="M13" s="6"/>
      <c r="N13" s="6"/>
      <c r="O13" s="6"/>
      <c r="P13" s="6"/>
      <c r="Q13" s="6"/>
      <c r="T13" s="8"/>
    </row>
    <row r="14" spans="1:20" x14ac:dyDescent="0.2">
      <c r="A14" s="2" t="s">
        <v>14</v>
      </c>
      <c r="D14" s="5"/>
      <c r="E14" s="5"/>
      <c r="F14" s="5"/>
      <c r="G14" s="2">
        <f>accountsye311224!C21+accountsye311224!C23-16000</f>
        <v>246.64999999999964</v>
      </c>
      <c r="H14" s="5"/>
      <c r="I14" s="6"/>
      <c r="J14" s="9">
        <v>266</v>
      </c>
      <c r="K14" s="5"/>
      <c r="L14" s="6"/>
      <c r="M14" s="9">
        <f>-'[1]TB 2022'!J17</f>
        <v>512</v>
      </c>
      <c r="N14" s="10"/>
      <c r="O14" s="10"/>
      <c r="P14" s="10">
        <v>32</v>
      </c>
      <c r="Q14" s="10"/>
    </row>
    <row r="15" spans="1:20" x14ac:dyDescent="0.2">
      <c r="D15" s="5"/>
      <c r="E15" s="5"/>
      <c r="F15" s="5"/>
      <c r="G15" s="11">
        <f>SUM(G7:G14)</f>
        <v>30071.53</v>
      </c>
      <c r="H15" s="5"/>
      <c r="I15" s="6"/>
      <c r="J15" s="6">
        <f>SUM(J7:J14)</f>
        <v>12364.89</v>
      </c>
      <c r="K15" s="5"/>
      <c r="L15" s="6"/>
      <c r="M15" s="6">
        <f>SUM(M7:M14)</f>
        <v>14806.490000000002</v>
      </c>
      <c r="N15" s="6"/>
      <c r="O15" s="6"/>
      <c r="P15" s="11">
        <f>SUM(P7:P14)</f>
        <v>10441.970000000001</v>
      </c>
      <c r="Q15" s="6"/>
    </row>
    <row r="16" spans="1:20" x14ac:dyDescent="0.2">
      <c r="D16" s="5"/>
      <c r="E16" s="5"/>
      <c r="F16" s="5"/>
      <c r="G16" s="5"/>
      <c r="H16" s="5"/>
      <c r="I16" s="5"/>
      <c r="J16" s="5"/>
      <c r="K16" s="5"/>
      <c r="L16" s="6"/>
      <c r="M16" s="6"/>
      <c r="N16" s="6"/>
      <c r="O16" s="6"/>
      <c r="P16" s="6"/>
      <c r="Q16" s="6"/>
    </row>
    <row r="17" spans="1:17" x14ac:dyDescent="0.2">
      <c r="D17" s="5"/>
      <c r="E17" s="5"/>
      <c r="F17" s="5"/>
      <c r="G17" s="5"/>
      <c r="H17" s="5"/>
      <c r="I17" s="5"/>
      <c r="J17" s="5"/>
      <c r="K17" s="5"/>
      <c r="L17" s="6"/>
      <c r="M17" s="6"/>
      <c r="N17" s="6"/>
      <c r="O17" s="6"/>
      <c r="P17" s="6"/>
      <c r="Q17" s="6"/>
    </row>
    <row r="18" spans="1:17" x14ac:dyDescent="0.2">
      <c r="A18" s="1" t="s">
        <v>15</v>
      </c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6"/>
      <c r="Q18" s="6"/>
    </row>
    <row r="19" spans="1:17" x14ac:dyDescent="0.2">
      <c r="A19" s="2" t="s">
        <v>16</v>
      </c>
      <c r="D19" s="5"/>
      <c r="E19" s="5"/>
      <c r="F19" s="15">
        <f>accountsye311224!C29</f>
        <v>1235</v>
      </c>
      <c r="H19" s="5"/>
      <c r="I19" s="58">
        <v>1235</v>
      </c>
      <c r="J19" s="5"/>
      <c r="L19" s="6">
        <f>+'[1]TB 2022'!J18</f>
        <v>1205</v>
      </c>
      <c r="M19" s="6"/>
      <c r="N19" s="6"/>
      <c r="O19" s="6">
        <v>1095</v>
      </c>
      <c r="P19" s="6"/>
      <c r="Q19" s="6"/>
    </row>
    <row r="20" spans="1:17" x14ac:dyDescent="0.2">
      <c r="A20" s="2" t="s">
        <v>17</v>
      </c>
      <c r="D20" s="5">
        <v>3</v>
      </c>
      <c r="E20" s="5"/>
      <c r="F20" s="15">
        <f>accountsye311224!C45</f>
        <v>5736.8899999999994</v>
      </c>
      <c r="H20" s="5"/>
      <c r="I20" s="58">
        <f>'[1]Notes 2023'!D23</f>
        <v>370</v>
      </c>
      <c r="J20" s="5"/>
      <c r="L20" s="6">
        <f>+'[1]TB 2022'!J24</f>
        <v>3353.52</v>
      </c>
      <c r="M20" s="6"/>
      <c r="N20" s="6"/>
      <c r="O20" s="6">
        <v>3828.83</v>
      </c>
      <c r="P20" s="6"/>
      <c r="Q20" s="6"/>
    </row>
    <row r="21" spans="1:17" x14ac:dyDescent="0.2">
      <c r="A21" s="2" t="s">
        <v>18</v>
      </c>
      <c r="D21" s="5">
        <v>2</v>
      </c>
      <c r="E21" s="5"/>
      <c r="F21" s="15">
        <f>accountsye311224!C42+accountsye311224!C43+accountsye311224!C44</f>
        <v>1172.6300000000001</v>
      </c>
      <c r="H21" s="5"/>
      <c r="I21" s="58">
        <v>1095.1099999999999</v>
      </c>
      <c r="J21" s="5"/>
      <c r="L21" s="6">
        <f>+'[1]TB 2022'!J23</f>
        <v>786.51</v>
      </c>
      <c r="M21" s="6"/>
      <c r="N21" s="6"/>
      <c r="O21" s="6">
        <v>132</v>
      </c>
      <c r="P21" s="6"/>
      <c r="Q21" s="6"/>
    </row>
    <row r="22" spans="1:17" x14ac:dyDescent="0.2">
      <c r="A22" s="2" t="s">
        <v>19</v>
      </c>
      <c r="D22" s="5">
        <v>4</v>
      </c>
      <c r="E22" s="5"/>
      <c r="F22" s="15">
        <f>accountsye311224!C34+accountsye311224!C35+accountsye311224!C36+accountsye311224!C37+accountsye311224!C38+accountsye311224!C39+accountsye311224!C40</f>
        <v>4266.42</v>
      </c>
      <c r="H22" s="5"/>
      <c r="I22" s="58">
        <v>3478.8</v>
      </c>
      <c r="J22" s="5"/>
      <c r="L22" s="6">
        <f>+'[1]TB 2022'!J20+'[1]TB 2022'!J21+'[1]TB 2022'!J22</f>
        <v>3549.05</v>
      </c>
      <c r="M22" s="6"/>
      <c r="N22" s="6"/>
      <c r="O22" s="6">
        <v>770.8</v>
      </c>
      <c r="P22" s="6"/>
      <c r="Q22" s="6"/>
    </row>
    <row r="23" spans="1:17" x14ac:dyDescent="0.2">
      <c r="A23" s="2" t="s">
        <v>20</v>
      </c>
      <c r="D23" s="5"/>
      <c r="E23" s="5"/>
      <c r="F23" s="15">
        <f>accountsye311224!C47</f>
        <v>694.5</v>
      </c>
      <c r="H23" s="5"/>
      <c r="I23" s="58">
        <v>1079.83</v>
      </c>
      <c r="J23" s="5"/>
      <c r="L23" s="6">
        <f>+'[1]TB 2022'!J25</f>
        <v>999</v>
      </c>
      <c r="M23" s="6"/>
      <c r="N23" s="6"/>
      <c r="O23" s="6">
        <v>426.64</v>
      </c>
      <c r="P23" s="6"/>
      <c r="Q23" s="6"/>
    </row>
    <row r="24" spans="1:17" x14ac:dyDescent="0.2">
      <c r="A24" s="2" t="s">
        <v>21</v>
      </c>
      <c r="D24" s="5">
        <v>5</v>
      </c>
      <c r="E24" s="5"/>
      <c r="F24" s="15">
        <f>accountsye311224!C52</f>
        <v>3171.72</v>
      </c>
      <c r="H24" s="5"/>
      <c r="I24" s="58">
        <v>2279.5500000000002</v>
      </c>
      <c r="J24" s="5"/>
      <c r="L24" s="10">
        <f>+'[1]TB 2022'!J28</f>
        <v>3043.05</v>
      </c>
      <c r="M24" s="10"/>
      <c r="N24" s="10"/>
      <c r="O24" s="10">
        <v>435.51</v>
      </c>
      <c r="P24" s="10"/>
      <c r="Q24" s="10"/>
    </row>
    <row r="25" spans="1:17" x14ac:dyDescent="0.2">
      <c r="A25" s="2" t="s">
        <v>22</v>
      </c>
      <c r="D25" s="5">
        <v>1</v>
      </c>
      <c r="E25" s="5"/>
      <c r="F25" s="15">
        <f>accountsye311224!C30-accountsye311224!C15</f>
        <v>685.8</v>
      </c>
      <c r="H25" s="5"/>
      <c r="I25" s="6">
        <v>0</v>
      </c>
      <c r="J25" s="5"/>
      <c r="L25" s="12">
        <v>0</v>
      </c>
      <c r="O25" s="2">
        <v>767.43</v>
      </c>
    </row>
    <row r="26" spans="1:17" x14ac:dyDescent="0.2">
      <c r="D26" s="5"/>
      <c r="E26" s="5"/>
      <c r="F26" s="13"/>
      <c r="G26" s="9">
        <f>SUM(F19:F25)</f>
        <v>16962.96</v>
      </c>
      <c r="H26" s="5"/>
      <c r="I26" s="13"/>
      <c r="J26" s="9">
        <f>SUM(I19:I25)</f>
        <v>9538.2900000000009</v>
      </c>
      <c r="L26" s="6"/>
      <c r="M26" s="9">
        <f>SUM(L19:L25)</f>
        <v>12936.130000000001</v>
      </c>
      <c r="N26" s="10"/>
      <c r="O26" s="10"/>
      <c r="P26" s="9">
        <f>SUM(O19:O25)</f>
        <v>7456.2100000000009</v>
      </c>
      <c r="Q26" s="10"/>
    </row>
    <row r="27" spans="1:17" x14ac:dyDescent="0.2">
      <c r="D27" s="5"/>
      <c r="E27" s="5"/>
      <c r="F27" s="5"/>
      <c r="G27" s="6">
        <f>+G15-G26</f>
        <v>13108.57</v>
      </c>
      <c r="H27" s="5"/>
      <c r="I27" s="5"/>
      <c r="J27" s="6">
        <f>+J15-J26</f>
        <v>2826.5999999999985</v>
      </c>
      <c r="L27" s="6"/>
      <c r="M27" s="6">
        <f>+M15-M26</f>
        <v>1870.3600000000006</v>
      </c>
      <c r="N27" s="6"/>
      <c r="O27" s="6"/>
      <c r="P27" s="11">
        <f>+P15-P26</f>
        <v>2985.76</v>
      </c>
      <c r="Q27" s="6"/>
    </row>
    <row r="28" spans="1:17" x14ac:dyDescent="0.2">
      <c r="A28" s="1" t="s">
        <v>23</v>
      </c>
      <c r="D28" s="5"/>
      <c r="E28" s="5"/>
      <c r="F28" s="5"/>
      <c r="G28" s="5"/>
      <c r="H28" s="5"/>
      <c r="I28" s="5"/>
      <c r="J28" s="5"/>
      <c r="K28" s="5"/>
      <c r="L28" s="6"/>
      <c r="M28" s="6"/>
      <c r="N28" s="6"/>
      <c r="O28" s="6"/>
      <c r="P28" s="6"/>
      <c r="Q28" s="6"/>
    </row>
    <row r="29" spans="1:17" x14ac:dyDescent="0.2">
      <c r="A29" s="2" t="s">
        <v>24</v>
      </c>
      <c r="D29" s="5">
        <v>7</v>
      </c>
      <c r="E29" s="5"/>
      <c r="F29" s="15">
        <f>accountsye311224!C50-16000</f>
        <v>1229.9599999999991</v>
      </c>
      <c r="G29" s="15"/>
      <c r="H29" s="15"/>
      <c r="I29" s="15">
        <v>1691.12</v>
      </c>
      <c r="K29" s="5"/>
      <c r="L29" s="6">
        <f>+'[1]TB 2022'!J27</f>
        <v>728.52</v>
      </c>
      <c r="M29" s="6"/>
      <c r="N29" s="6"/>
      <c r="O29" s="6">
        <v>301.45999999999998</v>
      </c>
      <c r="P29" s="6"/>
      <c r="Q29" s="6"/>
    </row>
    <row r="30" spans="1:17" x14ac:dyDescent="0.2">
      <c r="A30" s="2" t="s">
        <v>25</v>
      </c>
      <c r="D30" s="5">
        <v>6</v>
      </c>
      <c r="E30" s="5"/>
      <c r="F30" s="15">
        <f>accountsye311224!C49+accountsye311224!C48</f>
        <v>9303.5299999999988</v>
      </c>
      <c r="G30" s="15"/>
      <c r="H30" s="15"/>
      <c r="I30" s="15">
        <v>-60.73</v>
      </c>
      <c r="K30" s="5"/>
      <c r="L30" s="6">
        <f>+'[1]TB 2022'!J26</f>
        <v>1624.77</v>
      </c>
      <c r="M30" s="6"/>
      <c r="N30" s="6"/>
      <c r="O30" s="6">
        <v>71.28</v>
      </c>
      <c r="P30" s="6"/>
      <c r="Q30" s="6"/>
    </row>
    <row r="31" spans="1:17" x14ac:dyDescent="0.2">
      <c r="A31" s="2" t="s">
        <v>26</v>
      </c>
      <c r="D31" s="5">
        <v>8</v>
      </c>
      <c r="E31" s="5"/>
      <c r="F31" s="15">
        <f>accountsye311224!C53</f>
        <v>1200</v>
      </c>
      <c r="G31" s="15"/>
      <c r="H31" s="15"/>
      <c r="I31" s="15">
        <v>1250</v>
      </c>
      <c r="K31" s="5"/>
      <c r="L31" s="9">
        <f>+'[1]TB 2022'!J29</f>
        <v>580</v>
      </c>
      <c r="M31" s="6"/>
      <c r="N31" s="6"/>
      <c r="O31" s="6">
        <v>600</v>
      </c>
      <c r="P31" s="6"/>
      <c r="Q31" s="6"/>
    </row>
    <row r="32" spans="1:17" x14ac:dyDescent="0.2">
      <c r="D32" s="5"/>
      <c r="E32" s="5"/>
      <c r="F32" s="5"/>
      <c r="G32" s="9">
        <f>SUM(F29:F31)</f>
        <v>11733.489999999998</v>
      </c>
      <c r="H32" s="5"/>
      <c r="I32" s="13"/>
      <c r="J32" s="9">
        <f>SUM(I29:I31)</f>
        <v>2880.39</v>
      </c>
      <c r="K32" s="5"/>
      <c r="L32" s="6"/>
      <c r="M32" s="9">
        <f>SUM(L29:L31)</f>
        <v>2933.29</v>
      </c>
      <c r="N32" s="10"/>
      <c r="O32" s="10"/>
      <c r="P32" s="9">
        <f>SUM(O29:O31)</f>
        <v>972.74</v>
      </c>
      <c r="Q32" s="10"/>
    </row>
    <row r="33" spans="1:17" ht="13.2" thickBot="1" x14ac:dyDescent="0.25">
      <c r="A33" s="1" t="s">
        <v>27</v>
      </c>
      <c r="D33" s="5"/>
      <c r="E33" s="5"/>
      <c r="F33" s="5"/>
      <c r="G33" s="14">
        <f>+G27-G32</f>
        <v>1375.0800000000017</v>
      </c>
      <c r="H33" s="5"/>
      <c r="I33" s="5"/>
      <c r="J33" s="14">
        <f>+J27-J32</f>
        <v>-53.790000000001328</v>
      </c>
      <c r="K33" s="5"/>
      <c r="L33" s="6"/>
      <c r="M33" s="14">
        <f>+M27-M32</f>
        <v>-1062.9299999999994</v>
      </c>
      <c r="N33" s="10"/>
      <c r="O33" s="10"/>
      <c r="P33" s="14">
        <f>+P27-P32</f>
        <v>2013.0200000000002</v>
      </c>
      <c r="Q33" s="10"/>
    </row>
    <row r="34" spans="1:17" ht="13.2" thickTop="1" x14ac:dyDescent="0.2"/>
    <row r="36" spans="1:17" x14ac:dyDescent="0.2">
      <c r="G36" s="8"/>
    </row>
  </sheetData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07CD-3DA4-4FAE-8794-A8AF8B69F863}">
  <sheetPr>
    <pageSetUpPr fitToPage="1"/>
  </sheetPr>
  <dimension ref="A1:N40"/>
  <sheetViews>
    <sheetView workbookViewId="0">
      <selection activeCell="A28" sqref="A28"/>
    </sheetView>
  </sheetViews>
  <sheetFormatPr defaultRowHeight="12.6" x14ac:dyDescent="0.2"/>
  <cols>
    <col min="1" max="1" width="45.33203125" style="61" customWidth="1"/>
    <col min="2" max="2" width="14" style="61" customWidth="1"/>
    <col min="3" max="3" width="16.44140625" style="61" bestFit="1" customWidth="1"/>
    <col min="4" max="11" width="14" style="61" customWidth="1"/>
    <col min="12" max="12" width="8.88671875" style="61"/>
    <col min="13" max="13" width="13" style="61" customWidth="1"/>
    <col min="14" max="14" width="14.109375" style="61" customWidth="1"/>
    <col min="15" max="16" width="8.88671875" style="61"/>
    <col min="17" max="17" width="10" style="61" bestFit="1" customWidth="1"/>
    <col min="18" max="259" width="8.88671875" style="61"/>
    <col min="260" max="260" width="45.33203125" style="61" customWidth="1"/>
    <col min="261" max="267" width="14" style="61" customWidth="1"/>
    <col min="268" max="268" width="8.88671875" style="61"/>
    <col min="269" max="269" width="13" style="61" customWidth="1"/>
    <col min="270" max="270" width="14.109375" style="61" customWidth="1"/>
    <col min="271" max="272" width="8.88671875" style="61"/>
    <col min="273" max="273" width="10" style="61" bestFit="1" customWidth="1"/>
    <col min="274" max="515" width="8.88671875" style="61"/>
    <col min="516" max="516" width="45.33203125" style="61" customWidth="1"/>
    <col min="517" max="523" width="14" style="61" customWidth="1"/>
    <col min="524" max="524" width="8.88671875" style="61"/>
    <col min="525" max="525" width="13" style="61" customWidth="1"/>
    <col min="526" max="526" width="14.109375" style="61" customWidth="1"/>
    <col min="527" max="528" width="8.88671875" style="61"/>
    <col min="529" max="529" width="10" style="61" bestFit="1" customWidth="1"/>
    <col min="530" max="771" width="8.88671875" style="61"/>
    <col min="772" max="772" width="45.33203125" style="61" customWidth="1"/>
    <col min="773" max="779" width="14" style="61" customWidth="1"/>
    <col min="780" max="780" width="8.88671875" style="61"/>
    <col min="781" max="781" width="13" style="61" customWidth="1"/>
    <col min="782" max="782" width="14.109375" style="61" customWidth="1"/>
    <col min="783" max="784" width="8.88671875" style="61"/>
    <col min="785" max="785" width="10" style="61" bestFit="1" customWidth="1"/>
    <col min="786" max="1027" width="8.88671875" style="61"/>
    <col min="1028" max="1028" width="45.33203125" style="61" customWidth="1"/>
    <col min="1029" max="1035" width="14" style="61" customWidth="1"/>
    <col min="1036" max="1036" width="8.88671875" style="61"/>
    <col min="1037" max="1037" width="13" style="61" customWidth="1"/>
    <col min="1038" max="1038" width="14.109375" style="61" customWidth="1"/>
    <col min="1039" max="1040" width="8.88671875" style="61"/>
    <col min="1041" max="1041" width="10" style="61" bestFit="1" customWidth="1"/>
    <col min="1042" max="1283" width="8.88671875" style="61"/>
    <col min="1284" max="1284" width="45.33203125" style="61" customWidth="1"/>
    <col min="1285" max="1291" width="14" style="61" customWidth="1"/>
    <col min="1292" max="1292" width="8.88671875" style="61"/>
    <col min="1293" max="1293" width="13" style="61" customWidth="1"/>
    <col min="1294" max="1294" width="14.109375" style="61" customWidth="1"/>
    <col min="1295" max="1296" width="8.88671875" style="61"/>
    <col min="1297" max="1297" width="10" style="61" bestFit="1" customWidth="1"/>
    <col min="1298" max="1539" width="8.88671875" style="61"/>
    <col min="1540" max="1540" width="45.33203125" style="61" customWidth="1"/>
    <col min="1541" max="1547" width="14" style="61" customWidth="1"/>
    <col min="1548" max="1548" width="8.88671875" style="61"/>
    <col min="1549" max="1549" width="13" style="61" customWidth="1"/>
    <col min="1550" max="1550" width="14.109375" style="61" customWidth="1"/>
    <col min="1551" max="1552" width="8.88671875" style="61"/>
    <col min="1553" max="1553" width="10" style="61" bestFit="1" customWidth="1"/>
    <col min="1554" max="1795" width="8.88671875" style="61"/>
    <col min="1796" max="1796" width="45.33203125" style="61" customWidth="1"/>
    <col min="1797" max="1803" width="14" style="61" customWidth="1"/>
    <col min="1804" max="1804" width="8.88671875" style="61"/>
    <col min="1805" max="1805" width="13" style="61" customWidth="1"/>
    <col min="1806" max="1806" width="14.109375" style="61" customWidth="1"/>
    <col min="1807" max="1808" width="8.88671875" style="61"/>
    <col min="1809" max="1809" width="10" style="61" bestFit="1" customWidth="1"/>
    <col min="1810" max="2051" width="8.88671875" style="61"/>
    <col min="2052" max="2052" width="45.33203125" style="61" customWidth="1"/>
    <col min="2053" max="2059" width="14" style="61" customWidth="1"/>
    <col min="2060" max="2060" width="8.88671875" style="61"/>
    <col min="2061" max="2061" width="13" style="61" customWidth="1"/>
    <col min="2062" max="2062" width="14.109375" style="61" customWidth="1"/>
    <col min="2063" max="2064" width="8.88671875" style="61"/>
    <col min="2065" max="2065" width="10" style="61" bestFit="1" customWidth="1"/>
    <col min="2066" max="2307" width="8.88671875" style="61"/>
    <col min="2308" max="2308" width="45.33203125" style="61" customWidth="1"/>
    <col min="2309" max="2315" width="14" style="61" customWidth="1"/>
    <col min="2316" max="2316" width="8.88671875" style="61"/>
    <col min="2317" max="2317" width="13" style="61" customWidth="1"/>
    <col min="2318" max="2318" width="14.109375" style="61" customWidth="1"/>
    <col min="2319" max="2320" width="8.88671875" style="61"/>
    <col min="2321" max="2321" width="10" style="61" bestFit="1" customWidth="1"/>
    <col min="2322" max="2563" width="8.88671875" style="61"/>
    <col min="2564" max="2564" width="45.33203125" style="61" customWidth="1"/>
    <col min="2565" max="2571" width="14" style="61" customWidth="1"/>
    <col min="2572" max="2572" width="8.88671875" style="61"/>
    <col min="2573" max="2573" width="13" style="61" customWidth="1"/>
    <col min="2574" max="2574" width="14.109375" style="61" customWidth="1"/>
    <col min="2575" max="2576" width="8.88671875" style="61"/>
    <col min="2577" max="2577" width="10" style="61" bestFit="1" customWidth="1"/>
    <col min="2578" max="2819" width="8.88671875" style="61"/>
    <col min="2820" max="2820" width="45.33203125" style="61" customWidth="1"/>
    <col min="2821" max="2827" width="14" style="61" customWidth="1"/>
    <col min="2828" max="2828" width="8.88671875" style="61"/>
    <col min="2829" max="2829" width="13" style="61" customWidth="1"/>
    <col min="2830" max="2830" width="14.109375" style="61" customWidth="1"/>
    <col min="2831" max="2832" width="8.88671875" style="61"/>
    <col min="2833" max="2833" width="10" style="61" bestFit="1" customWidth="1"/>
    <col min="2834" max="3075" width="8.88671875" style="61"/>
    <col min="3076" max="3076" width="45.33203125" style="61" customWidth="1"/>
    <col min="3077" max="3083" width="14" style="61" customWidth="1"/>
    <col min="3084" max="3084" width="8.88671875" style="61"/>
    <col min="3085" max="3085" width="13" style="61" customWidth="1"/>
    <col min="3086" max="3086" width="14.109375" style="61" customWidth="1"/>
    <col min="3087" max="3088" width="8.88671875" style="61"/>
    <col min="3089" max="3089" width="10" style="61" bestFit="1" customWidth="1"/>
    <col min="3090" max="3331" width="8.88671875" style="61"/>
    <col min="3332" max="3332" width="45.33203125" style="61" customWidth="1"/>
    <col min="3333" max="3339" width="14" style="61" customWidth="1"/>
    <col min="3340" max="3340" width="8.88671875" style="61"/>
    <col min="3341" max="3341" width="13" style="61" customWidth="1"/>
    <col min="3342" max="3342" width="14.109375" style="61" customWidth="1"/>
    <col min="3343" max="3344" width="8.88671875" style="61"/>
    <col min="3345" max="3345" width="10" style="61" bestFit="1" customWidth="1"/>
    <col min="3346" max="3587" width="8.88671875" style="61"/>
    <col min="3588" max="3588" width="45.33203125" style="61" customWidth="1"/>
    <col min="3589" max="3595" width="14" style="61" customWidth="1"/>
    <col min="3596" max="3596" width="8.88671875" style="61"/>
    <col min="3597" max="3597" width="13" style="61" customWidth="1"/>
    <col min="3598" max="3598" width="14.109375" style="61" customWidth="1"/>
    <col min="3599" max="3600" width="8.88671875" style="61"/>
    <col min="3601" max="3601" width="10" style="61" bestFit="1" customWidth="1"/>
    <col min="3602" max="3843" width="8.88671875" style="61"/>
    <col min="3844" max="3844" width="45.33203125" style="61" customWidth="1"/>
    <col min="3845" max="3851" width="14" style="61" customWidth="1"/>
    <col min="3852" max="3852" width="8.88671875" style="61"/>
    <col min="3853" max="3853" width="13" style="61" customWidth="1"/>
    <col min="3854" max="3854" width="14.109375" style="61" customWidth="1"/>
    <col min="3855" max="3856" width="8.88671875" style="61"/>
    <col min="3857" max="3857" width="10" style="61" bestFit="1" customWidth="1"/>
    <col min="3858" max="4099" width="8.88671875" style="61"/>
    <col min="4100" max="4100" width="45.33203125" style="61" customWidth="1"/>
    <col min="4101" max="4107" width="14" style="61" customWidth="1"/>
    <col min="4108" max="4108" width="8.88671875" style="61"/>
    <col min="4109" max="4109" width="13" style="61" customWidth="1"/>
    <col min="4110" max="4110" width="14.109375" style="61" customWidth="1"/>
    <col min="4111" max="4112" width="8.88671875" style="61"/>
    <col min="4113" max="4113" width="10" style="61" bestFit="1" customWidth="1"/>
    <col min="4114" max="4355" width="8.88671875" style="61"/>
    <col min="4356" max="4356" width="45.33203125" style="61" customWidth="1"/>
    <col min="4357" max="4363" width="14" style="61" customWidth="1"/>
    <col min="4364" max="4364" width="8.88671875" style="61"/>
    <col min="4365" max="4365" width="13" style="61" customWidth="1"/>
    <col min="4366" max="4366" width="14.109375" style="61" customWidth="1"/>
    <col min="4367" max="4368" width="8.88671875" style="61"/>
    <col min="4369" max="4369" width="10" style="61" bestFit="1" customWidth="1"/>
    <col min="4370" max="4611" width="8.88671875" style="61"/>
    <col min="4612" max="4612" width="45.33203125" style="61" customWidth="1"/>
    <col min="4613" max="4619" width="14" style="61" customWidth="1"/>
    <col min="4620" max="4620" width="8.88671875" style="61"/>
    <col min="4621" max="4621" width="13" style="61" customWidth="1"/>
    <col min="4622" max="4622" width="14.109375" style="61" customWidth="1"/>
    <col min="4623" max="4624" width="8.88671875" style="61"/>
    <col min="4625" max="4625" width="10" style="61" bestFit="1" customWidth="1"/>
    <col min="4626" max="4867" width="8.88671875" style="61"/>
    <col min="4868" max="4868" width="45.33203125" style="61" customWidth="1"/>
    <col min="4869" max="4875" width="14" style="61" customWidth="1"/>
    <col min="4876" max="4876" width="8.88671875" style="61"/>
    <col min="4877" max="4877" width="13" style="61" customWidth="1"/>
    <col min="4878" max="4878" width="14.109375" style="61" customWidth="1"/>
    <col min="4879" max="4880" width="8.88671875" style="61"/>
    <col min="4881" max="4881" width="10" style="61" bestFit="1" customWidth="1"/>
    <col min="4882" max="5123" width="8.88671875" style="61"/>
    <col min="5124" max="5124" width="45.33203125" style="61" customWidth="1"/>
    <col min="5125" max="5131" width="14" style="61" customWidth="1"/>
    <col min="5132" max="5132" width="8.88671875" style="61"/>
    <col min="5133" max="5133" width="13" style="61" customWidth="1"/>
    <col min="5134" max="5134" width="14.109375" style="61" customWidth="1"/>
    <col min="5135" max="5136" width="8.88671875" style="61"/>
    <col min="5137" max="5137" width="10" style="61" bestFit="1" customWidth="1"/>
    <col min="5138" max="5379" width="8.88671875" style="61"/>
    <col min="5380" max="5380" width="45.33203125" style="61" customWidth="1"/>
    <col min="5381" max="5387" width="14" style="61" customWidth="1"/>
    <col min="5388" max="5388" width="8.88671875" style="61"/>
    <col min="5389" max="5389" width="13" style="61" customWidth="1"/>
    <col min="5390" max="5390" width="14.109375" style="61" customWidth="1"/>
    <col min="5391" max="5392" width="8.88671875" style="61"/>
    <col min="5393" max="5393" width="10" style="61" bestFit="1" customWidth="1"/>
    <col min="5394" max="5635" width="8.88671875" style="61"/>
    <col min="5636" max="5636" width="45.33203125" style="61" customWidth="1"/>
    <col min="5637" max="5643" width="14" style="61" customWidth="1"/>
    <col min="5644" max="5644" width="8.88671875" style="61"/>
    <col min="5645" max="5645" width="13" style="61" customWidth="1"/>
    <col min="5646" max="5646" width="14.109375" style="61" customWidth="1"/>
    <col min="5647" max="5648" width="8.88671875" style="61"/>
    <col min="5649" max="5649" width="10" style="61" bestFit="1" customWidth="1"/>
    <col min="5650" max="5891" width="8.88671875" style="61"/>
    <col min="5892" max="5892" width="45.33203125" style="61" customWidth="1"/>
    <col min="5893" max="5899" width="14" style="61" customWidth="1"/>
    <col min="5900" max="5900" width="8.88671875" style="61"/>
    <col min="5901" max="5901" width="13" style="61" customWidth="1"/>
    <col min="5902" max="5902" width="14.109375" style="61" customWidth="1"/>
    <col min="5903" max="5904" width="8.88671875" style="61"/>
    <col min="5905" max="5905" width="10" style="61" bestFit="1" customWidth="1"/>
    <col min="5906" max="6147" width="8.88671875" style="61"/>
    <col min="6148" max="6148" width="45.33203125" style="61" customWidth="1"/>
    <col min="6149" max="6155" width="14" style="61" customWidth="1"/>
    <col min="6156" max="6156" width="8.88671875" style="61"/>
    <col min="6157" max="6157" width="13" style="61" customWidth="1"/>
    <col min="6158" max="6158" width="14.109375" style="61" customWidth="1"/>
    <col min="6159" max="6160" width="8.88671875" style="61"/>
    <col min="6161" max="6161" width="10" style="61" bestFit="1" customWidth="1"/>
    <col min="6162" max="6403" width="8.88671875" style="61"/>
    <col min="6404" max="6404" width="45.33203125" style="61" customWidth="1"/>
    <col min="6405" max="6411" width="14" style="61" customWidth="1"/>
    <col min="6412" max="6412" width="8.88671875" style="61"/>
    <col min="6413" max="6413" width="13" style="61" customWidth="1"/>
    <col min="6414" max="6414" width="14.109375" style="61" customWidth="1"/>
    <col min="6415" max="6416" width="8.88671875" style="61"/>
    <col min="6417" max="6417" width="10" style="61" bestFit="1" customWidth="1"/>
    <col min="6418" max="6659" width="8.88671875" style="61"/>
    <col min="6660" max="6660" width="45.33203125" style="61" customWidth="1"/>
    <col min="6661" max="6667" width="14" style="61" customWidth="1"/>
    <col min="6668" max="6668" width="8.88671875" style="61"/>
    <col min="6669" max="6669" width="13" style="61" customWidth="1"/>
    <col min="6670" max="6670" width="14.109375" style="61" customWidth="1"/>
    <col min="6671" max="6672" width="8.88671875" style="61"/>
    <col min="6673" max="6673" width="10" style="61" bestFit="1" customWidth="1"/>
    <col min="6674" max="6915" width="8.88671875" style="61"/>
    <col min="6916" max="6916" width="45.33203125" style="61" customWidth="1"/>
    <col min="6917" max="6923" width="14" style="61" customWidth="1"/>
    <col min="6924" max="6924" width="8.88671875" style="61"/>
    <col min="6925" max="6925" width="13" style="61" customWidth="1"/>
    <col min="6926" max="6926" width="14.109375" style="61" customWidth="1"/>
    <col min="6927" max="6928" width="8.88671875" style="61"/>
    <col min="6929" max="6929" width="10" style="61" bestFit="1" customWidth="1"/>
    <col min="6930" max="7171" width="8.88671875" style="61"/>
    <col min="7172" max="7172" width="45.33203125" style="61" customWidth="1"/>
    <col min="7173" max="7179" width="14" style="61" customWidth="1"/>
    <col min="7180" max="7180" width="8.88671875" style="61"/>
    <col min="7181" max="7181" width="13" style="61" customWidth="1"/>
    <col min="7182" max="7182" width="14.109375" style="61" customWidth="1"/>
    <col min="7183" max="7184" width="8.88671875" style="61"/>
    <col min="7185" max="7185" width="10" style="61" bestFit="1" customWidth="1"/>
    <col min="7186" max="7427" width="8.88671875" style="61"/>
    <col min="7428" max="7428" width="45.33203125" style="61" customWidth="1"/>
    <col min="7429" max="7435" width="14" style="61" customWidth="1"/>
    <col min="7436" max="7436" width="8.88671875" style="61"/>
    <col min="7437" max="7437" width="13" style="61" customWidth="1"/>
    <col min="7438" max="7438" width="14.109375" style="61" customWidth="1"/>
    <col min="7439" max="7440" width="8.88671875" style="61"/>
    <col min="7441" max="7441" width="10" style="61" bestFit="1" customWidth="1"/>
    <col min="7442" max="7683" width="8.88671875" style="61"/>
    <col min="7684" max="7684" width="45.33203125" style="61" customWidth="1"/>
    <col min="7685" max="7691" width="14" style="61" customWidth="1"/>
    <col min="7692" max="7692" width="8.88671875" style="61"/>
    <col min="7693" max="7693" width="13" style="61" customWidth="1"/>
    <col min="7694" max="7694" width="14.109375" style="61" customWidth="1"/>
    <col min="7695" max="7696" width="8.88671875" style="61"/>
    <col min="7697" max="7697" width="10" style="61" bestFit="1" customWidth="1"/>
    <col min="7698" max="7939" width="8.88671875" style="61"/>
    <col min="7940" max="7940" width="45.33203125" style="61" customWidth="1"/>
    <col min="7941" max="7947" width="14" style="61" customWidth="1"/>
    <col min="7948" max="7948" width="8.88671875" style="61"/>
    <col min="7949" max="7949" width="13" style="61" customWidth="1"/>
    <col min="7950" max="7950" width="14.109375" style="61" customWidth="1"/>
    <col min="7951" max="7952" width="8.88671875" style="61"/>
    <col min="7953" max="7953" width="10" style="61" bestFit="1" customWidth="1"/>
    <col min="7954" max="8195" width="8.88671875" style="61"/>
    <col min="8196" max="8196" width="45.33203125" style="61" customWidth="1"/>
    <col min="8197" max="8203" width="14" style="61" customWidth="1"/>
    <col min="8204" max="8204" width="8.88671875" style="61"/>
    <col min="8205" max="8205" width="13" style="61" customWidth="1"/>
    <col min="8206" max="8206" width="14.109375" style="61" customWidth="1"/>
    <col min="8207" max="8208" width="8.88671875" style="61"/>
    <col min="8209" max="8209" width="10" style="61" bestFit="1" customWidth="1"/>
    <col min="8210" max="8451" width="8.88671875" style="61"/>
    <col min="8452" max="8452" width="45.33203125" style="61" customWidth="1"/>
    <col min="8453" max="8459" width="14" style="61" customWidth="1"/>
    <col min="8460" max="8460" width="8.88671875" style="61"/>
    <col min="8461" max="8461" width="13" style="61" customWidth="1"/>
    <col min="8462" max="8462" width="14.109375" style="61" customWidth="1"/>
    <col min="8463" max="8464" width="8.88671875" style="61"/>
    <col min="8465" max="8465" width="10" style="61" bestFit="1" customWidth="1"/>
    <col min="8466" max="8707" width="8.88671875" style="61"/>
    <col min="8708" max="8708" width="45.33203125" style="61" customWidth="1"/>
    <col min="8709" max="8715" width="14" style="61" customWidth="1"/>
    <col min="8716" max="8716" width="8.88671875" style="61"/>
    <col min="8717" max="8717" width="13" style="61" customWidth="1"/>
    <col min="8718" max="8718" width="14.109375" style="61" customWidth="1"/>
    <col min="8719" max="8720" width="8.88671875" style="61"/>
    <col min="8721" max="8721" width="10" style="61" bestFit="1" customWidth="1"/>
    <col min="8722" max="8963" width="8.88671875" style="61"/>
    <col min="8964" max="8964" width="45.33203125" style="61" customWidth="1"/>
    <col min="8965" max="8971" width="14" style="61" customWidth="1"/>
    <col min="8972" max="8972" width="8.88671875" style="61"/>
    <col min="8973" max="8973" width="13" style="61" customWidth="1"/>
    <col min="8974" max="8974" width="14.109375" style="61" customWidth="1"/>
    <col min="8975" max="8976" width="8.88671875" style="61"/>
    <col min="8977" max="8977" width="10" style="61" bestFit="1" customWidth="1"/>
    <col min="8978" max="9219" width="8.88671875" style="61"/>
    <col min="9220" max="9220" width="45.33203125" style="61" customWidth="1"/>
    <col min="9221" max="9227" width="14" style="61" customWidth="1"/>
    <col min="9228" max="9228" width="8.88671875" style="61"/>
    <col min="9229" max="9229" width="13" style="61" customWidth="1"/>
    <col min="9230" max="9230" width="14.109375" style="61" customWidth="1"/>
    <col min="9231" max="9232" width="8.88671875" style="61"/>
    <col min="9233" max="9233" width="10" style="61" bestFit="1" customWidth="1"/>
    <col min="9234" max="9475" width="8.88671875" style="61"/>
    <col min="9476" max="9476" width="45.33203125" style="61" customWidth="1"/>
    <col min="9477" max="9483" width="14" style="61" customWidth="1"/>
    <col min="9484" max="9484" width="8.88671875" style="61"/>
    <col min="9485" max="9485" width="13" style="61" customWidth="1"/>
    <col min="9486" max="9486" width="14.109375" style="61" customWidth="1"/>
    <col min="9487" max="9488" width="8.88671875" style="61"/>
    <col min="9489" max="9489" width="10" style="61" bestFit="1" customWidth="1"/>
    <col min="9490" max="9731" width="8.88671875" style="61"/>
    <col min="9732" max="9732" width="45.33203125" style="61" customWidth="1"/>
    <col min="9733" max="9739" width="14" style="61" customWidth="1"/>
    <col min="9740" max="9740" width="8.88671875" style="61"/>
    <col min="9741" max="9741" width="13" style="61" customWidth="1"/>
    <col min="9742" max="9742" width="14.109375" style="61" customWidth="1"/>
    <col min="9743" max="9744" width="8.88671875" style="61"/>
    <col min="9745" max="9745" width="10" style="61" bestFit="1" customWidth="1"/>
    <col min="9746" max="9987" width="8.88671875" style="61"/>
    <col min="9988" max="9988" width="45.33203125" style="61" customWidth="1"/>
    <col min="9989" max="9995" width="14" style="61" customWidth="1"/>
    <col min="9996" max="9996" width="8.88671875" style="61"/>
    <col min="9997" max="9997" width="13" style="61" customWidth="1"/>
    <col min="9998" max="9998" width="14.109375" style="61" customWidth="1"/>
    <col min="9999" max="10000" width="8.88671875" style="61"/>
    <col min="10001" max="10001" width="10" style="61" bestFit="1" customWidth="1"/>
    <col min="10002" max="10243" width="8.88671875" style="61"/>
    <col min="10244" max="10244" width="45.33203125" style="61" customWidth="1"/>
    <col min="10245" max="10251" width="14" style="61" customWidth="1"/>
    <col min="10252" max="10252" width="8.88671875" style="61"/>
    <col min="10253" max="10253" width="13" style="61" customWidth="1"/>
    <col min="10254" max="10254" width="14.109375" style="61" customWidth="1"/>
    <col min="10255" max="10256" width="8.88671875" style="61"/>
    <col min="10257" max="10257" width="10" style="61" bestFit="1" customWidth="1"/>
    <col min="10258" max="10499" width="8.88671875" style="61"/>
    <col min="10500" max="10500" width="45.33203125" style="61" customWidth="1"/>
    <col min="10501" max="10507" width="14" style="61" customWidth="1"/>
    <col min="10508" max="10508" width="8.88671875" style="61"/>
    <col min="10509" max="10509" width="13" style="61" customWidth="1"/>
    <col min="10510" max="10510" width="14.109375" style="61" customWidth="1"/>
    <col min="10511" max="10512" width="8.88671875" style="61"/>
    <col min="10513" max="10513" width="10" style="61" bestFit="1" customWidth="1"/>
    <col min="10514" max="10755" width="8.88671875" style="61"/>
    <col min="10756" max="10756" width="45.33203125" style="61" customWidth="1"/>
    <col min="10757" max="10763" width="14" style="61" customWidth="1"/>
    <col min="10764" max="10764" width="8.88671875" style="61"/>
    <col min="10765" max="10765" width="13" style="61" customWidth="1"/>
    <col min="10766" max="10766" width="14.109375" style="61" customWidth="1"/>
    <col min="10767" max="10768" width="8.88671875" style="61"/>
    <col min="10769" max="10769" width="10" style="61" bestFit="1" customWidth="1"/>
    <col min="10770" max="11011" width="8.88671875" style="61"/>
    <col min="11012" max="11012" width="45.33203125" style="61" customWidth="1"/>
    <col min="11013" max="11019" width="14" style="61" customWidth="1"/>
    <col min="11020" max="11020" width="8.88671875" style="61"/>
    <col min="11021" max="11021" width="13" style="61" customWidth="1"/>
    <col min="11022" max="11022" width="14.109375" style="61" customWidth="1"/>
    <col min="11023" max="11024" width="8.88671875" style="61"/>
    <col min="11025" max="11025" width="10" style="61" bestFit="1" customWidth="1"/>
    <col min="11026" max="11267" width="8.88671875" style="61"/>
    <col min="11268" max="11268" width="45.33203125" style="61" customWidth="1"/>
    <col min="11269" max="11275" width="14" style="61" customWidth="1"/>
    <col min="11276" max="11276" width="8.88671875" style="61"/>
    <col min="11277" max="11277" width="13" style="61" customWidth="1"/>
    <col min="11278" max="11278" width="14.109375" style="61" customWidth="1"/>
    <col min="11279" max="11280" width="8.88671875" style="61"/>
    <col min="11281" max="11281" width="10" style="61" bestFit="1" customWidth="1"/>
    <col min="11282" max="11523" width="8.88671875" style="61"/>
    <col min="11524" max="11524" width="45.33203125" style="61" customWidth="1"/>
    <col min="11525" max="11531" width="14" style="61" customWidth="1"/>
    <col min="11532" max="11532" width="8.88671875" style="61"/>
    <col min="11533" max="11533" width="13" style="61" customWidth="1"/>
    <col min="11534" max="11534" width="14.109375" style="61" customWidth="1"/>
    <col min="11535" max="11536" width="8.88671875" style="61"/>
    <col min="11537" max="11537" width="10" style="61" bestFit="1" customWidth="1"/>
    <col min="11538" max="11779" width="8.88671875" style="61"/>
    <col min="11780" max="11780" width="45.33203125" style="61" customWidth="1"/>
    <col min="11781" max="11787" width="14" style="61" customWidth="1"/>
    <col min="11788" max="11788" width="8.88671875" style="61"/>
    <col min="11789" max="11789" width="13" style="61" customWidth="1"/>
    <col min="11790" max="11790" width="14.109375" style="61" customWidth="1"/>
    <col min="11791" max="11792" width="8.88671875" style="61"/>
    <col min="11793" max="11793" width="10" style="61" bestFit="1" customWidth="1"/>
    <col min="11794" max="12035" width="8.88671875" style="61"/>
    <col min="12036" max="12036" width="45.33203125" style="61" customWidth="1"/>
    <col min="12037" max="12043" width="14" style="61" customWidth="1"/>
    <col min="12044" max="12044" width="8.88671875" style="61"/>
    <col min="12045" max="12045" width="13" style="61" customWidth="1"/>
    <col min="12046" max="12046" width="14.109375" style="61" customWidth="1"/>
    <col min="12047" max="12048" width="8.88671875" style="61"/>
    <col min="12049" max="12049" width="10" style="61" bestFit="1" customWidth="1"/>
    <col min="12050" max="12291" width="8.88671875" style="61"/>
    <col min="12292" max="12292" width="45.33203125" style="61" customWidth="1"/>
    <col min="12293" max="12299" width="14" style="61" customWidth="1"/>
    <col min="12300" max="12300" width="8.88671875" style="61"/>
    <col min="12301" max="12301" width="13" style="61" customWidth="1"/>
    <col min="12302" max="12302" width="14.109375" style="61" customWidth="1"/>
    <col min="12303" max="12304" width="8.88671875" style="61"/>
    <col min="12305" max="12305" width="10" style="61" bestFit="1" customWidth="1"/>
    <col min="12306" max="12547" width="8.88671875" style="61"/>
    <col min="12548" max="12548" width="45.33203125" style="61" customWidth="1"/>
    <col min="12549" max="12555" width="14" style="61" customWidth="1"/>
    <col min="12556" max="12556" width="8.88671875" style="61"/>
    <col min="12557" max="12557" width="13" style="61" customWidth="1"/>
    <col min="12558" max="12558" width="14.109375" style="61" customWidth="1"/>
    <col min="12559" max="12560" width="8.88671875" style="61"/>
    <col min="12561" max="12561" width="10" style="61" bestFit="1" customWidth="1"/>
    <col min="12562" max="12803" width="8.88671875" style="61"/>
    <col min="12804" max="12804" width="45.33203125" style="61" customWidth="1"/>
    <col min="12805" max="12811" width="14" style="61" customWidth="1"/>
    <col min="12812" max="12812" width="8.88671875" style="61"/>
    <col min="12813" max="12813" width="13" style="61" customWidth="1"/>
    <col min="12814" max="12814" width="14.109375" style="61" customWidth="1"/>
    <col min="12815" max="12816" width="8.88671875" style="61"/>
    <col min="12817" max="12817" width="10" style="61" bestFit="1" customWidth="1"/>
    <col min="12818" max="13059" width="8.88671875" style="61"/>
    <col min="13060" max="13060" width="45.33203125" style="61" customWidth="1"/>
    <col min="13061" max="13067" width="14" style="61" customWidth="1"/>
    <col min="13068" max="13068" width="8.88671875" style="61"/>
    <col min="13069" max="13069" width="13" style="61" customWidth="1"/>
    <col min="13070" max="13070" width="14.109375" style="61" customWidth="1"/>
    <col min="13071" max="13072" width="8.88671875" style="61"/>
    <col min="13073" max="13073" width="10" style="61" bestFit="1" customWidth="1"/>
    <col min="13074" max="13315" width="8.88671875" style="61"/>
    <col min="13316" max="13316" width="45.33203125" style="61" customWidth="1"/>
    <col min="13317" max="13323" width="14" style="61" customWidth="1"/>
    <col min="13324" max="13324" width="8.88671875" style="61"/>
    <col min="13325" max="13325" width="13" style="61" customWidth="1"/>
    <col min="13326" max="13326" width="14.109375" style="61" customWidth="1"/>
    <col min="13327" max="13328" width="8.88671875" style="61"/>
    <col min="13329" max="13329" width="10" style="61" bestFit="1" customWidth="1"/>
    <col min="13330" max="13571" width="8.88671875" style="61"/>
    <col min="13572" max="13572" width="45.33203125" style="61" customWidth="1"/>
    <col min="13573" max="13579" width="14" style="61" customWidth="1"/>
    <col min="13580" max="13580" width="8.88671875" style="61"/>
    <col min="13581" max="13581" width="13" style="61" customWidth="1"/>
    <col min="13582" max="13582" width="14.109375" style="61" customWidth="1"/>
    <col min="13583" max="13584" width="8.88671875" style="61"/>
    <col min="13585" max="13585" width="10" style="61" bestFit="1" customWidth="1"/>
    <col min="13586" max="13827" width="8.88671875" style="61"/>
    <col min="13828" max="13828" width="45.33203125" style="61" customWidth="1"/>
    <col min="13829" max="13835" width="14" style="61" customWidth="1"/>
    <col min="13836" max="13836" width="8.88671875" style="61"/>
    <col min="13837" max="13837" width="13" style="61" customWidth="1"/>
    <col min="13838" max="13838" width="14.109375" style="61" customWidth="1"/>
    <col min="13839" max="13840" width="8.88671875" style="61"/>
    <col min="13841" max="13841" width="10" style="61" bestFit="1" customWidth="1"/>
    <col min="13842" max="14083" width="8.88671875" style="61"/>
    <col min="14084" max="14084" width="45.33203125" style="61" customWidth="1"/>
    <col min="14085" max="14091" width="14" style="61" customWidth="1"/>
    <col min="14092" max="14092" width="8.88671875" style="61"/>
    <col min="14093" max="14093" width="13" style="61" customWidth="1"/>
    <col min="14094" max="14094" width="14.109375" style="61" customWidth="1"/>
    <col min="14095" max="14096" width="8.88671875" style="61"/>
    <col min="14097" max="14097" width="10" style="61" bestFit="1" customWidth="1"/>
    <col min="14098" max="14339" width="8.88671875" style="61"/>
    <col min="14340" max="14340" width="45.33203125" style="61" customWidth="1"/>
    <col min="14341" max="14347" width="14" style="61" customWidth="1"/>
    <col min="14348" max="14348" width="8.88671875" style="61"/>
    <col min="14349" max="14349" width="13" style="61" customWidth="1"/>
    <col min="14350" max="14350" width="14.109375" style="61" customWidth="1"/>
    <col min="14351" max="14352" width="8.88671875" style="61"/>
    <col min="14353" max="14353" width="10" style="61" bestFit="1" customWidth="1"/>
    <col min="14354" max="14595" width="8.88671875" style="61"/>
    <col min="14596" max="14596" width="45.33203125" style="61" customWidth="1"/>
    <col min="14597" max="14603" width="14" style="61" customWidth="1"/>
    <col min="14604" max="14604" width="8.88671875" style="61"/>
    <col min="14605" max="14605" width="13" style="61" customWidth="1"/>
    <col min="14606" max="14606" width="14.109375" style="61" customWidth="1"/>
    <col min="14607" max="14608" width="8.88671875" style="61"/>
    <col min="14609" max="14609" width="10" style="61" bestFit="1" customWidth="1"/>
    <col min="14610" max="14851" width="8.88671875" style="61"/>
    <col min="14852" max="14852" width="45.33203125" style="61" customWidth="1"/>
    <col min="14853" max="14859" width="14" style="61" customWidth="1"/>
    <col min="14860" max="14860" width="8.88671875" style="61"/>
    <col min="14861" max="14861" width="13" style="61" customWidth="1"/>
    <col min="14862" max="14862" width="14.109375" style="61" customWidth="1"/>
    <col min="14863" max="14864" width="8.88671875" style="61"/>
    <col min="14865" max="14865" width="10" style="61" bestFit="1" customWidth="1"/>
    <col min="14866" max="15107" width="8.88671875" style="61"/>
    <col min="15108" max="15108" width="45.33203125" style="61" customWidth="1"/>
    <col min="15109" max="15115" width="14" style="61" customWidth="1"/>
    <col min="15116" max="15116" width="8.88671875" style="61"/>
    <col min="15117" max="15117" width="13" style="61" customWidth="1"/>
    <col min="15118" max="15118" width="14.109375" style="61" customWidth="1"/>
    <col min="15119" max="15120" width="8.88671875" style="61"/>
    <col min="15121" max="15121" width="10" style="61" bestFit="1" customWidth="1"/>
    <col min="15122" max="15363" width="8.88671875" style="61"/>
    <col min="15364" max="15364" width="45.33203125" style="61" customWidth="1"/>
    <col min="15365" max="15371" width="14" style="61" customWidth="1"/>
    <col min="15372" max="15372" width="8.88671875" style="61"/>
    <col min="15373" max="15373" width="13" style="61" customWidth="1"/>
    <col min="15374" max="15374" width="14.109375" style="61" customWidth="1"/>
    <col min="15375" max="15376" width="8.88671875" style="61"/>
    <col min="15377" max="15377" width="10" style="61" bestFit="1" customWidth="1"/>
    <col min="15378" max="15619" width="8.88671875" style="61"/>
    <col min="15620" max="15620" width="45.33203125" style="61" customWidth="1"/>
    <col min="15621" max="15627" width="14" style="61" customWidth="1"/>
    <col min="15628" max="15628" width="8.88671875" style="61"/>
    <col min="15629" max="15629" width="13" style="61" customWidth="1"/>
    <col min="15630" max="15630" width="14.109375" style="61" customWidth="1"/>
    <col min="15631" max="15632" width="8.88671875" style="61"/>
    <col min="15633" max="15633" width="10" style="61" bestFit="1" customWidth="1"/>
    <col min="15634" max="15875" width="8.88671875" style="61"/>
    <col min="15876" max="15876" width="45.33203125" style="61" customWidth="1"/>
    <col min="15877" max="15883" width="14" style="61" customWidth="1"/>
    <col min="15884" max="15884" width="8.88671875" style="61"/>
    <col min="15885" max="15885" width="13" style="61" customWidth="1"/>
    <col min="15886" max="15886" width="14.109375" style="61" customWidth="1"/>
    <col min="15887" max="15888" width="8.88671875" style="61"/>
    <col min="15889" max="15889" width="10" style="61" bestFit="1" customWidth="1"/>
    <col min="15890" max="16131" width="8.88671875" style="61"/>
    <col min="16132" max="16132" width="45.33203125" style="61" customWidth="1"/>
    <col min="16133" max="16139" width="14" style="61" customWidth="1"/>
    <col min="16140" max="16140" width="8.88671875" style="61"/>
    <col min="16141" max="16141" width="13" style="61" customWidth="1"/>
    <col min="16142" max="16142" width="14.109375" style="61" customWidth="1"/>
    <col min="16143" max="16144" width="8.88671875" style="61"/>
    <col min="16145" max="16145" width="10" style="61" bestFit="1" customWidth="1"/>
    <col min="16146" max="16384" width="8.88671875" style="61"/>
  </cols>
  <sheetData>
    <row r="1" spans="1:14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4" x14ac:dyDescent="0.2">
      <c r="A2" s="60" t="s">
        <v>180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4" x14ac:dyDescent="0.2">
      <c r="A3" s="60" t="s">
        <v>181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x14ac:dyDescent="0.2">
      <c r="A4" s="60"/>
      <c r="B4" s="60"/>
      <c r="C4" s="71" t="s">
        <v>182</v>
      </c>
      <c r="D4" s="72" t="s">
        <v>183</v>
      </c>
      <c r="E4" s="71"/>
      <c r="F4" s="71"/>
      <c r="G4" s="72" t="s">
        <v>184</v>
      </c>
      <c r="H4" s="60"/>
      <c r="I4" s="71"/>
      <c r="J4" s="72" t="s">
        <v>185</v>
      </c>
      <c r="K4" s="60"/>
      <c r="M4" s="72" t="s">
        <v>186</v>
      </c>
      <c r="N4" s="60"/>
    </row>
    <row r="5" spans="1:14" x14ac:dyDescent="0.2">
      <c r="D5" s="73" t="s">
        <v>7</v>
      </c>
      <c r="E5" s="73" t="s">
        <v>7</v>
      </c>
      <c r="G5" s="73" t="s">
        <v>7</v>
      </c>
      <c r="H5" s="73" t="s">
        <v>7</v>
      </c>
      <c r="J5" s="73" t="s">
        <v>7</v>
      </c>
      <c r="K5" s="73" t="s">
        <v>7</v>
      </c>
      <c r="M5" s="73" t="s">
        <v>7</v>
      </c>
      <c r="N5" s="73" t="s">
        <v>7</v>
      </c>
    </row>
    <row r="6" spans="1:14" s="75" customFormat="1" x14ac:dyDescent="0.2">
      <c r="A6" s="74" t="s">
        <v>187</v>
      </c>
      <c r="B6" s="73"/>
      <c r="C6" s="73"/>
      <c r="D6" s="73"/>
      <c r="E6" s="73"/>
      <c r="F6" s="73"/>
      <c r="G6" s="73"/>
      <c r="H6" s="73"/>
      <c r="I6" s="73"/>
      <c r="J6" s="73"/>
      <c r="K6" s="73"/>
      <c r="M6" s="73"/>
      <c r="N6" s="73"/>
    </row>
    <row r="7" spans="1:14" x14ac:dyDescent="0.2">
      <c r="A7" s="61" t="s">
        <v>188</v>
      </c>
      <c r="C7" s="76">
        <v>1</v>
      </c>
      <c r="E7" s="75">
        <f>H7+'[2]Notes 2024'!$D$8-'[2]Notes 2024'!$D$10-107.57</f>
        <v>1513.5799999999997</v>
      </c>
      <c r="F7" s="76"/>
      <c r="H7" s="61">
        <f>'[3]Notes 2023'!D12</f>
        <v>935.34999999999991</v>
      </c>
      <c r="I7" s="76"/>
      <c r="K7" s="61">
        <v>1537.85</v>
      </c>
      <c r="N7" s="61">
        <v>1407</v>
      </c>
    </row>
    <row r="8" spans="1:14" x14ac:dyDescent="0.2">
      <c r="A8" s="61" t="s">
        <v>189</v>
      </c>
      <c r="C8" s="76">
        <v>9</v>
      </c>
      <c r="E8" s="75">
        <f>accountsye311224!$C$90</f>
        <v>16879.11</v>
      </c>
      <c r="F8" s="76"/>
      <c r="H8" s="62">
        <f>'[3]TB 2023'!J5</f>
        <v>14833.88</v>
      </c>
      <c r="I8" s="76"/>
      <c r="K8" s="62">
        <f>+'[3]TB 2022'!J5</f>
        <v>13121.42</v>
      </c>
      <c r="N8" s="62">
        <v>13286.36</v>
      </c>
    </row>
    <row r="9" spans="1:14" x14ac:dyDescent="0.2">
      <c r="E9" s="63">
        <f>SUM(E7:E8)</f>
        <v>18392.689999999999</v>
      </c>
      <c r="H9" s="61">
        <f>SUM(H7:H8)</f>
        <v>15769.23</v>
      </c>
      <c r="K9" s="61">
        <f>SUM(K7:K8)</f>
        <v>14659.27</v>
      </c>
      <c r="N9" s="61">
        <f>SUM(N7:N8)</f>
        <v>14693.36</v>
      </c>
    </row>
    <row r="10" spans="1:14" x14ac:dyDescent="0.2">
      <c r="A10" s="60" t="s">
        <v>190</v>
      </c>
    </row>
    <row r="11" spans="1:14" x14ac:dyDescent="0.2">
      <c r="A11" s="61" t="s">
        <v>191</v>
      </c>
      <c r="C11" s="76">
        <v>3</v>
      </c>
      <c r="D11" s="61">
        <v>1159.68</v>
      </c>
      <c r="G11" s="61">
        <v>2198.4</v>
      </c>
      <c r="M11" s="61">
        <v>0</v>
      </c>
    </row>
    <row r="12" spans="1:14" x14ac:dyDescent="0.2">
      <c r="A12" s="61" t="s">
        <v>192</v>
      </c>
      <c r="C12" s="76">
        <v>7</v>
      </c>
      <c r="D12" s="61">
        <v>2083.5</v>
      </c>
      <c r="G12" s="61">
        <f>'[3]TB 2023'!G5</f>
        <v>1610</v>
      </c>
      <c r="J12" s="61">
        <v>2030</v>
      </c>
      <c r="M12" s="61">
        <v>960</v>
      </c>
    </row>
    <row r="13" spans="1:14" x14ac:dyDescent="0.2">
      <c r="A13" s="61" t="s">
        <v>193</v>
      </c>
      <c r="C13" s="76">
        <v>6</v>
      </c>
      <c r="D13" s="61">
        <f>-'[2]Notes 2024'!$D$64+'[2]Notes 2024'!$D$60</f>
        <v>-1076.5</v>
      </c>
    </row>
    <row r="14" spans="1:14" x14ac:dyDescent="0.2">
      <c r="A14" s="61" t="s">
        <v>194</v>
      </c>
      <c r="C14" s="76" t="s">
        <v>195</v>
      </c>
      <c r="D14" s="75">
        <f>[4]accountsye311224!$C$63</f>
        <v>0</v>
      </c>
      <c r="G14" s="62">
        <v>132.1</v>
      </c>
      <c r="J14" s="62">
        <v>224.74</v>
      </c>
      <c r="M14" s="62">
        <v>265.89999999999998</v>
      </c>
    </row>
    <row r="15" spans="1:14" x14ac:dyDescent="0.2">
      <c r="C15" s="76"/>
      <c r="E15" s="62">
        <f>SUM(D11:D14)</f>
        <v>2166.6800000000003</v>
      </c>
      <c r="G15" s="62"/>
      <c r="H15" s="62">
        <f>SUM(G11:G15)</f>
        <v>3940.5</v>
      </c>
      <c r="J15" s="62"/>
      <c r="K15" s="62">
        <f>SUM(J12:J15)</f>
        <v>2254.7399999999998</v>
      </c>
      <c r="M15" s="62"/>
      <c r="N15" s="62">
        <f>SUM(M11:M15)</f>
        <v>1225.9000000000001</v>
      </c>
    </row>
    <row r="16" spans="1:14" ht="13.2" thickBot="1" x14ac:dyDescent="0.25">
      <c r="E16" s="77">
        <f>+E9-E15</f>
        <v>16226.009999999998</v>
      </c>
      <c r="H16" s="77">
        <f>+H9-H15</f>
        <v>11828.73</v>
      </c>
      <c r="K16" s="77">
        <f>+K9-K15</f>
        <v>12404.53</v>
      </c>
      <c r="N16" s="77">
        <f>+N9-N15</f>
        <v>13467.460000000001</v>
      </c>
    </row>
    <row r="17" spans="1:14" ht="13.2" thickTop="1" x14ac:dyDescent="0.2"/>
    <row r="18" spans="1:14" x14ac:dyDescent="0.2">
      <c r="A18" s="60" t="s">
        <v>196</v>
      </c>
    </row>
    <row r="19" spans="1:14" x14ac:dyDescent="0.2">
      <c r="A19" s="61" t="s">
        <v>197</v>
      </c>
      <c r="E19" s="61">
        <f>H21</f>
        <v>12350.740000000002</v>
      </c>
      <c r="H19" s="61">
        <f>K21</f>
        <v>12404.530000000002</v>
      </c>
      <c r="K19" s="61">
        <f>N21</f>
        <v>13467.460000000001</v>
      </c>
      <c r="N19" s="61">
        <v>11454.44</v>
      </c>
    </row>
    <row r="20" spans="1:14" x14ac:dyDescent="0.2">
      <c r="A20" s="61" t="s">
        <v>198</v>
      </c>
      <c r="E20" s="61">
        <f>'SOFA 2024'!$G$33</f>
        <v>1375.0800000000017</v>
      </c>
      <c r="H20" s="61">
        <f>'[3]SOFA 2023'!F34</f>
        <v>-53.790000000001328</v>
      </c>
      <c r="K20" s="61">
        <f>+'[3]SOFA 2022'!F34</f>
        <v>-1062.9299999999994</v>
      </c>
      <c r="N20" s="61">
        <f>+'[3]SOFA 2022'!I34</f>
        <v>2013.0200000000002</v>
      </c>
    </row>
    <row r="21" spans="1:14" ht="13.2" thickBot="1" x14ac:dyDescent="0.25">
      <c r="A21" s="60" t="s">
        <v>199</v>
      </c>
      <c r="E21" s="77">
        <f>SUM(E19:E20)</f>
        <v>13725.820000000003</v>
      </c>
      <c r="H21" s="77">
        <f>SUM(H19:H20)</f>
        <v>12350.740000000002</v>
      </c>
      <c r="K21" s="77">
        <f>SUM(K19:K20)</f>
        <v>12404.530000000002</v>
      </c>
      <c r="N21" s="77">
        <f>SUM(N19:N20)</f>
        <v>13467.460000000001</v>
      </c>
    </row>
    <row r="22" spans="1:14" ht="13.2" thickTop="1" x14ac:dyDescent="0.2"/>
    <row r="25" spans="1:14" x14ac:dyDescent="0.2">
      <c r="A25" s="61" t="s">
        <v>200</v>
      </c>
    </row>
    <row r="39" spans="2:11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2:11" x14ac:dyDescent="0.2">
      <c r="B40" s="75"/>
      <c r="C40" s="75"/>
      <c r="D40" s="75"/>
      <c r="E40" s="75"/>
      <c r="F40" s="75"/>
      <c r="G40" s="75"/>
      <c r="H40" s="75"/>
      <c r="I40" s="75"/>
      <c r="J40" s="75"/>
      <c r="K40" s="75"/>
    </row>
  </sheetData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761C-26A3-4E4E-999E-A580B09C2AAD}">
  <sheetPr>
    <pageSetUpPr fitToPage="1"/>
  </sheetPr>
  <dimension ref="A1:L91"/>
  <sheetViews>
    <sheetView tabSelected="1" topLeftCell="A8" workbookViewId="0">
      <selection activeCell="D23" sqref="D23"/>
    </sheetView>
  </sheetViews>
  <sheetFormatPr defaultColWidth="8.88671875" defaultRowHeight="12.6" x14ac:dyDescent="0.2"/>
  <cols>
    <col min="1" max="1" width="8.88671875" style="2"/>
    <col min="2" max="2" width="29.77734375" style="2" customWidth="1"/>
    <col min="3" max="3" width="27.6640625" style="2" bestFit="1" customWidth="1"/>
    <col min="4" max="7" width="12.88671875" style="2" customWidth="1"/>
    <col min="8" max="8" width="14.6640625" style="2" customWidth="1"/>
    <col min="9" max="9" width="9.33203125" style="2" customWidth="1"/>
    <col min="10" max="10" width="13.88671875" style="2" customWidth="1"/>
    <col min="11" max="11" width="10.44140625" style="2" customWidth="1"/>
    <col min="12" max="259" width="8.88671875" style="2"/>
    <col min="260" max="260" width="21" style="2" customWidth="1"/>
    <col min="261" max="263" width="12.88671875" style="2" customWidth="1"/>
    <col min="264" max="264" width="14.6640625" style="2" customWidth="1"/>
    <col min="265" max="265" width="9.33203125" style="2" customWidth="1"/>
    <col min="266" max="266" width="13.88671875" style="2" customWidth="1"/>
    <col min="267" max="267" width="10.44140625" style="2" customWidth="1"/>
    <col min="268" max="515" width="8.88671875" style="2"/>
    <col min="516" max="516" width="21" style="2" customWidth="1"/>
    <col min="517" max="519" width="12.88671875" style="2" customWidth="1"/>
    <col min="520" max="520" width="14.6640625" style="2" customWidth="1"/>
    <col min="521" max="521" width="9.33203125" style="2" customWidth="1"/>
    <col min="522" max="522" width="13.88671875" style="2" customWidth="1"/>
    <col min="523" max="523" width="10.44140625" style="2" customWidth="1"/>
    <col min="524" max="771" width="8.88671875" style="2"/>
    <col min="772" max="772" width="21" style="2" customWidth="1"/>
    <col min="773" max="775" width="12.88671875" style="2" customWidth="1"/>
    <col min="776" max="776" width="14.6640625" style="2" customWidth="1"/>
    <col min="777" max="777" width="9.33203125" style="2" customWidth="1"/>
    <col min="778" max="778" width="13.88671875" style="2" customWidth="1"/>
    <col min="779" max="779" width="10.44140625" style="2" customWidth="1"/>
    <col min="780" max="1027" width="8.88671875" style="2"/>
    <col min="1028" max="1028" width="21" style="2" customWidth="1"/>
    <col min="1029" max="1031" width="12.88671875" style="2" customWidth="1"/>
    <col min="1032" max="1032" width="14.6640625" style="2" customWidth="1"/>
    <col min="1033" max="1033" width="9.33203125" style="2" customWidth="1"/>
    <col min="1034" max="1034" width="13.88671875" style="2" customWidth="1"/>
    <col min="1035" max="1035" width="10.44140625" style="2" customWidth="1"/>
    <col min="1036" max="1283" width="8.88671875" style="2"/>
    <col min="1284" max="1284" width="21" style="2" customWidth="1"/>
    <col min="1285" max="1287" width="12.88671875" style="2" customWidth="1"/>
    <col min="1288" max="1288" width="14.6640625" style="2" customWidth="1"/>
    <col min="1289" max="1289" width="9.33203125" style="2" customWidth="1"/>
    <col min="1290" max="1290" width="13.88671875" style="2" customWidth="1"/>
    <col min="1291" max="1291" width="10.44140625" style="2" customWidth="1"/>
    <col min="1292" max="1539" width="8.88671875" style="2"/>
    <col min="1540" max="1540" width="21" style="2" customWidth="1"/>
    <col min="1541" max="1543" width="12.88671875" style="2" customWidth="1"/>
    <col min="1544" max="1544" width="14.6640625" style="2" customWidth="1"/>
    <col min="1545" max="1545" width="9.33203125" style="2" customWidth="1"/>
    <col min="1546" max="1546" width="13.88671875" style="2" customWidth="1"/>
    <col min="1547" max="1547" width="10.44140625" style="2" customWidth="1"/>
    <col min="1548" max="1795" width="8.88671875" style="2"/>
    <col min="1796" max="1796" width="21" style="2" customWidth="1"/>
    <col min="1797" max="1799" width="12.88671875" style="2" customWidth="1"/>
    <col min="1800" max="1800" width="14.6640625" style="2" customWidth="1"/>
    <col min="1801" max="1801" width="9.33203125" style="2" customWidth="1"/>
    <col min="1802" max="1802" width="13.88671875" style="2" customWidth="1"/>
    <col min="1803" max="1803" width="10.44140625" style="2" customWidth="1"/>
    <col min="1804" max="2051" width="8.88671875" style="2"/>
    <col min="2052" max="2052" width="21" style="2" customWidth="1"/>
    <col min="2053" max="2055" width="12.88671875" style="2" customWidth="1"/>
    <col min="2056" max="2056" width="14.6640625" style="2" customWidth="1"/>
    <col min="2057" max="2057" width="9.33203125" style="2" customWidth="1"/>
    <col min="2058" max="2058" width="13.88671875" style="2" customWidth="1"/>
    <col min="2059" max="2059" width="10.44140625" style="2" customWidth="1"/>
    <col min="2060" max="2307" width="8.88671875" style="2"/>
    <col min="2308" max="2308" width="21" style="2" customWidth="1"/>
    <col min="2309" max="2311" width="12.88671875" style="2" customWidth="1"/>
    <col min="2312" max="2312" width="14.6640625" style="2" customWidth="1"/>
    <col min="2313" max="2313" width="9.33203125" style="2" customWidth="1"/>
    <col min="2314" max="2314" width="13.88671875" style="2" customWidth="1"/>
    <col min="2315" max="2315" width="10.44140625" style="2" customWidth="1"/>
    <col min="2316" max="2563" width="8.88671875" style="2"/>
    <col min="2564" max="2564" width="21" style="2" customWidth="1"/>
    <col min="2565" max="2567" width="12.88671875" style="2" customWidth="1"/>
    <col min="2568" max="2568" width="14.6640625" style="2" customWidth="1"/>
    <col min="2569" max="2569" width="9.33203125" style="2" customWidth="1"/>
    <col min="2570" max="2570" width="13.88671875" style="2" customWidth="1"/>
    <col min="2571" max="2571" width="10.44140625" style="2" customWidth="1"/>
    <col min="2572" max="2819" width="8.88671875" style="2"/>
    <col min="2820" max="2820" width="21" style="2" customWidth="1"/>
    <col min="2821" max="2823" width="12.88671875" style="2" customWidth="1"/>
    <col min="2824" max="2824" width="14.6640625" style="2" customWidth="1"/>
    <col min="2825" max="2825" width="9.33203125" style="2" customWidth="1"/>
    <col min="2826" max="2826" width="13.88671875" style="2" customWidth="1"/>
    <col min="2827" max="2827" width="10.44140625" style="2" customWidth="1"/>
    <col min="2828" max="3075" width="8.88671875" style="2"/>
    <col min="3076" max="3076" width="21" style="2" customWidth="1"/>
    <col min="3077" max="3079" width="12.88671875" style="2" customWidth="1"/>
    <col min="3080" max="3080" width="14.6640625" style="2" customWidth="1"/>
    <col min="3081" max="3081" width="9.33203125" style="2" customWidth="1"/>
    <col min="3082" max="3082" width="13.88671875" style="2" customWidth="1"/>
    <col min="3083" max="3083" width="10.44140625" style="2" customWidth="1"/>
    <col min="3084" max="3331" width="8.88671875" style="2"/>
    <col min="3332" max="3332" width="21" style="2" customWidth="1"/>
    <col min="3333" max="3335" width="12.88671875" style="2" customWidth="1"/>
    <col min="3336" max="3336" width="14.6640625" style="2" customWidth="1"/>
    <col min="3337" max="3337" width="9.33203125" style="2" customWidth="1"/>
    <col min="3338" max="3338" width="13.88671875" style="2" customWidth="1"/>
    <col min="3339" max="3339" width="10.44140625" style="2" customWidth="1"/>
    <col min="3340" max="3587" width="8.88671875" style="2"/>
    <col min="3588" max="3588" width="21" style="2" customWidth="1"/>
    <col min="3589" max="3591" width="12.88671875" style="2" customWidth="1"/>
    <col min="3592" max="3592" width="14.6640625" style="2" customWidth="1"/>
    <col min="3593" max="3593" width="9.33203125" style="2" customWidth="1"/>
    <col min="3594" max="3594" width="13.88671875" style="2" customWidth="1"/>
    <col min="3595" max="3595" width="10.44140625" style="2" customWidth="1"/>
    <col min="3596" max="3843" width="8.88671875" style="2"/>
    <col min="3844" max="3844" width="21" style="2" customWidth="1"/>
    <col min="3845" max="3847" width="12.88671875" style="2" customWidth="1"/>
    <col min="3848" max="3848" width="14.6640625" style="2" customWidth="1"/>
    <col min="3849" max="3849" width="9.33203125" style="2" customWidth="1"/>
    <col min="3850" max="3850" width="13.88671875" style="2" customWidth="1"/>
    <col min="3851" max="3851" width="10.44140625" style="2" customWidth="1"/>
    <col min="3852" max="4099" width="8.88671875" style="2"/>
    <col min="4100" max="4100" width="21" style="2" customWidth="1"/>
    <col min="4101" max="4103" width="12.88671875" style="2" customWidth="1"/>
    <col min="4104" max="4104" width="14.6640625" style="2" customWidth="1"/>
    <col min="4105" max="4105" width="9.33203125" style="2" customWidth="1"/>
    <col min="4106" max="4106" width="13.88671875" style="2" customWidth="1"/>
    <col min="4107" max="4107" width="10.44140625" style="2" customWidth="1"/>
    <col min="4108" max="4355" width="8.88671875" style="2"/>
    <col min="4356" max="4356" width="21" style="2" customWidth="1"/>
    <col min="4357" max="4359" width="12.88671875" style="2" customWidth="1"/>
    <col min="4360" max="4360" width="14.6640625" style="2" customWidth="1"/>
    <col min="4361" max="4361" width="9.33203125" style="2" customWidth="1"/>
    <col min="4362" max="4362" width="13.88671875" style="2" customWidth="1"/>
    <col min="4363" max="4363" width="10.44140625" style="2" customWidth="1"/>
    <col min="4364" max="4611" width="8.88671875" style="2"/>
    <col min="4612" max="4612" width="21" style="2" customWidth="1"/>
    <col min="4613" max="4615" width="12.88671875" style="2" customWidth="1"/>
    <col min="4616" max="4616" width="14.6640625" style="2" customWidth="1"/>
    <col min="4617" max="4617" width="9.33203125" style="2" customWidth="1"/>
    <col min="4618" max="4618" width="13.88671875" style="2" customWidth="1"/>
    <col min="4619" max="4619" width="10.44140625" style="2" customWidth="1"/>
    <col min="4620" max="4867" width="8.88671875" style="2"/>
    <col min="4868" max="4868" width="21" style="2" customWidth="1"/>
    <col min="4869" max="4871" width="12.88671875" style="2" customWidth="1"/>
    <col min="4872" max="4872" width="14.6640625" style="2" customWidth="1"/>
    <col min="4873" max="4873" width="9.33203125" style="2" customWidth="1"/>
    <col min="4874" max="4874" width="13.88671875" style="2" customWidth="1"/>
    <col min="4875" max="4875" width="10.44140625" style="2" customWidth="1"/>
    <col min="4876" max="5123" width="8.88671875" style="2"/>
    <col min="5124" max="5124" width="21" style="2" customWidth="1"/>
    <col min="5125" max="5127" width="12.88671875" style="2" customWidth="1"/>
    <col min="5128" max="5128" width="14.6640625" style="2" customWidth="1"/>
    <col min="5129" max="5129" width="9.33203125" style="2" customWidth="1"/>
    <col min="5130" max="5130" width="13.88671875" style="2" customWidth="1"/>
    <col min="5131" max="5131" width="10.44140625" style="2" customWidth="1"/>
    <col min="5132" max="5379" width="8.88671875" style="2"/>
    <col min="5380" max="5380" width="21" style="2" customWidth="1"/>
    <col min="5381" max="5383" width="12.88671875" style="2" customWidth="1"/>
    <col min="5384" max="5384" width="14.6640625" style="2" customWidth="1"/>
    <col min="5385" max="5385" width="9.33203125" style="2" customWidth="1"/>
    <col min="5386" max="5386" width="13.88671875" style="2" customWidth="1"/>
    <col min="5387" max="5387" width="10.44140625" style="2" customWidth="1"/>
    <col min="5388" max="5635" width="8.88671875" style="2"/>
    <col min="5636" max="5636" width="21" style="2" customWidth="1"/>
    <col min="5637" max="5639" width="12.88671875" style="2" customWidth="1"/>
    <col min="5640" max="5640" width="14.6640625" style="2" customWidth="1"/>
    <col min="5641" max="5641" width="9.33203125" style="2" customWidth="1"/>
    <col min="5642" max="5642" width="13.88671875" style="2" customWidth="1"/>
    <col min="5643" max="5643" width="10.44140625" style="2" customWidth="1"/>
    <col min="5644" max="5891" width="8.88671875" style="2"/>
    <col min="5892" max="5892" width="21" style="2" customWidth="1"/>
    <col min="5893" max="5895" width="12.88671875" style="2" customWidth="1"/>
    <col min="5896" max="5896" width="14.6640625" style="2" customWidth="1"/>
    <col min="5897" max="5897" width="9.33203125" style="2" customWidth="1"/>
    <col min="5898" max="5898" width="13.88671875" style="2" customWidth="1"/>
    <col min="5899" max="5899" width="10.44140625" style="2" customWidth="1"/>
    <col min="5900" max="6147" width="8.88671875" style="2"/>
    <col min="6148" max="6148" width="21" style="2" customWidth="1"/>
    <col min="6149" max="6151" width="12.88671875" style="2" customWidth="1"/>
    <col min="6152" max="6152" width="14.6640625" style="2" customWidth="1"/>
    <col min="6153" max="6153" width="9.33203125" style="2" customWidth="1"/>
    <col min="6154" max="6154" width="13.88671875" style="2" customWidth="1"/>
    <col min="6155" max="6155" width="10.44140625" style="2" customWidth="1"/>
    <col min="6156" max="6403" width="8.88671875" style="2"/>
    <col min="6404" max="6404" width="21" style="2" customWidth="1"/>
    <col min="6405" max="6407" width="12.88671875" style="2" customWidth="1"/>
    <col min="6408" max="6408" width="14.6640625" style="2" customWidth="1"/>
    <col min="6409" max="6409" width="9.33203125" style="2" customWidth="1"/>
    <col min="6410" max="6410" width="13.88671875" style="2" customWidth="1"/>
    <col min="6411" max="6411" width="10.44140625" style="2" customWidth="1"/>
    <col min="6412" max="6659" width="8.88671875" style="2"/>
    <col min="6660" max="6660" width="21" style="2" customWidth="1"/>
    <col min="6661" max="6663" width="12.88671875" style="2" customWidth="1"/>
    <col min="6664" max="6664" width="14.6640625" style="2" customWidth="1"/>
    <col min="6665" max="6665" width="9.33203125" style="2" customWidth="1"/>
    <col min="6666" max="6666" width="13.88671875" style="2" customWidth="1"/>
    <col min="6667" max="6667" width="10.44140625" style="2" customWidth="1"/>
    <col min="6668" max="6915" width="8.88671875" style="2"/>
    <col min="6916" max="6916" width="21" style="2" customWidth="1"/>
    <col min="6917" max="6919" width="12.88671875" style="2" customWidth="1"/>
    <col min="6920" max="6920" width="14.6640625" style="2" customWidth="1"/>
    <col min="6921" max="6921" width="9.33203125" style="2" customWidth="1"/>
    <col min="6922" max="6922" width="13.88671875" style="2" customWidth="1"/>
    <col min="6923" max="6923" width="10.44140625" style="2" customWidth="1"/>
    <col min="6924" max="7171" width="8.88671875" style="2"/>
    <col min="7172" max="7172" width="21" style="2" customWidth="1"/>
    <col min="7173" max="7175" width="12.88671875" style="2" customWidth="1"/>
    <col min="7176" max="7176" width="14.6640625" style="2" customWidth="1"/>
    <col min="7177" max="7177" width="9.33203125" style="2" customWidth="1"/>
    <col min="7178" max="7178" width="13.88671875" style="2" customWidth="1"/>
    <col min="7179" max="7179" width="10.44140625" style="2" customWidth="1"/>
    <col min="7180" max="7427" width="8.88671875" style="2"/>
    <col min="7428" max="7428" width="21" style="2" customWidth="1"/>
    <col min="7429" max="7431" width="12.88671875" style="2" customWidth="1"/>
    <col min="7432" max="7432" width="14.6640625" style="2" customWidth="1"/>
    <col min="7433" max="7433" width="9.33203125" style="2" customWidth="1"/>
    <col min="7434" max="7434" width="13.88671875" style="2" customWidth="1"/>
    <col min="7435" max="7435" width="10.44140625" style="2" customWidth="1"/>
    <col min="7436" max="7683" width="8.88671875" style="2"/>
    <col min="7684" max="7684" width="21" style="2" customWidth="1"/>
    <col min="7685" max="7687" width="12.88671875" style="2" customWidth="1"/>
    <col min="7688" max="7688" width="14.6640625" style="2" customWidth="1"/>
    <col min="7689" max="7689" width="9.33203125" style="2" customWidth="1"/>
    <col min="7690" max="7690" width="13.88671875" style="2" customWidth="1"/>
    <col min="7691" max="7691" width="10.44140625" style="2" customWidth="1"/>
    <col min="7692" max="7939" width="8.88671875" style="2"/>
    <col min="7940" max="7940" width="21" style="2" customWidth="1"/>
    <col min="7941" max="7943" width="12.88671875" style="2" customWidth="1"/>
    <col min="7944" max="7944" width="14.6640625" style="2" customWidth="1"/>
    <col min="7945" max="7945" width="9.33203125" style="2" customWidth="1"/>
    <col min="7946" max="7946" width="13.88671875" style="2" customWidth="1"/>
    <col min="7947" max="7947" width="10.44140625" style="2" customWidth="1"/>
    <col min="7948" max="8195" width="8.88671875" style="2"/>
    <col min="8196" max="8196" width="21" style="2" customWidth="1"/>
    <col min="8197" max="8199" width="12.88671875" style="2" customWidth="1"/>
    <col min="8200" max="8200" width="14.6640625" style="2" customWidth="1"/>
    <col min="8201" max="8201" width="9.33203125" style="2" customWidth="1"/>
    <col min="8202" max="8202" width="13.88671875" style="2" customWidth="1"/>
    <col min="8203" max="8203" width="10.44140625" style="2" customWidth="1"/>
    <col min="8204" max="8451" width="8.88671875" style="2"/>
    <col min="8452" max="8452" width="21" style="2" customWidth="1"/>
    <col min="8453" max="8455" width="12.88671875" style="2" customWidth="1"/>
    <col min="8456" max="8456" width="14.6640625" style="2" customWidth="1"/>
    <col min="8457" max="8457" width="9.33203125" style="2" customWidth="1"/>
    <col min="8458" max="8458" width="13.88671875" style="2" customWidth="1"/>
    <col min="8459" max="8459" width="10.44140625" style="2" customWidth="1"/>
    <col min="8460" max="8707" width="8.88671875" style="2"/>
    <col min="8708" max="8708" width="21" style="2" customWidth="1"/>
    <col min="8709" max="8711" width="12.88671875" style="2" customWidth="1"/>
    <col min="8712" max="8712" width="14.6640625" style="2" customWidth="1"/>
    <col min="8713" max="8713" width="9.33203125" style="2" customWidth="1"/>
    <col min="8714" max="8714" width="13.88671875" style="2" customWidth="1"/>
    <col min="8715" max="8715" width="10.44140625" style="2" customWidth="1"/>
    <col min="8716" max="8963" width="8.88671875" style="2"/>
    <col min="8964" max="8964" width="21" style="2" customWidth="1"/>
    <col min="8965" max="8967" width="12.88671875" style="2" customWidth="1"/>
    <col min="8968" max="8968" width="14.6640625" style="2" customWidth="1"/>
    <col min="8969" max="8969" width="9.33203125" style="2" customWidth="1"/>
    <col min="8970" max="8970" width="13.88671875" style="2" customWidth="1"/>
    <col min="8971" max="8971" width="10.44140625" style="2" customWidth="1"/>
    <col min="8972" max="9219" width="8.88671875" style="2"/>
    <col min="9220" max="9220" width="21" style="2" customWidth="1"/>
    <col min="9221" max="9223" width="12.88671875" style="2" customWidth="1"/>
    <col min="9224" max="9224" width="14.6640625" style="2" customWidth="1"/>
    <col min="9225" max="9225" width="9.33203125" style="2" customWidth="1"/>
    <col min="9226" max="9226" width="13.88671875" style="2" customWidth="1"/>
    <col min="9227" max="9227" width="10.44140625" style="2" customWidth="1"/>
    <col min="9228" max="9475" width="8.88671875" style="2"/>
    <col min="9476" max="9476" width="21" style="2" customWidth="1"/>
    <col min="9477" max="9479" width="12.88671875" style="2" customWidth="1"/>
    <col min="9480" max="9480" width="14.6640625" style="2" customWidth="1"/>
    <col min="9481" max="9481" width="9.33203125" style="2" customWidth="1"/>
    <col min="9482" max="9482" width="13.88671875" style="2" customWidth="1"/>
    <col min="9483" max="9483" width="10.44140625" style="2" customWidth="1"/>
    <col min="9484" max="9731" width="8.88671875" style="2"/>
    <col min="9732" max="9732" width="21" style="2" customWidth="1"/>
    <col min="9733" max="9735" width="12.88671875" style="2" customWidth="1"/>
    <col min="9736" max="9736" width="14.6640625" style="2" customWidth="1"/>
    <col min="9737" max="9737" width="9.33203125" style="2" customWidth="1"/>
    <col min="9738" max="9738" width="13.88671875" style="2" customWidth="1"/>
    <col min="9739" max="9739" width="10.44140625" style="2" customWidth="1"/>
    <col min="9740" max="9987" width="8.88671875" style="2"/>
    <col min="9988" max="9988" width="21" style="2" customWidth="1"/>
    <col min="9989" max="9991" width="12.88671875" style="2" customWidth="1"/>
    <col min="9992" max="9992" width="14.6640625" style="2" customWidth="1"/>
    <col min="9993" max="9993" width="9.33203125" style="2" customWidth="1"/>
    <col min="9994" max="9994" width="13.88671875" style="2" customWidth="1"/>
    <col min="9995" max="9995" width="10.44140625" style="2" customWidth="1"/>
    <col min="9996" max="10243" width="8.88671875" style="2"/>
    <col min="10244" max="10244" width="21" style="2" customWidth="1"/>
    <col min="10245" max="10247" width="12.88671875" style="2" customWidth="1"/>
    <col min="10248" max="10248" width="14.6640625" style="2" customWidth="1"/>
    <col min="10249" max="10249" width="9.33203125" style="2" customWidth="1"/>
    <col min="10250" max="10250" width="13.88671875" style="2" customWidth="1"/>
    <col min="10251" max="10251" width="10.44140625" style="2" customWidth="1"/>
    <col min="10252" max="10499" width="8.88671875" style="2"/>
    <col min="10500" max="10500" width="21" style="2" customWidth="1"/>
    <col min="10501" max="10503" width="12.88671875" style="2" customWidth="1"/>
    <col min="10504" max="10504" width="14.6640625" style="2" customWidth="1"/>
    <col min="10505" max="10505" width="9.33203125" style="2" customWidth="1"/>
    <col min="10506" max="10506" width="13.88671875" style="2" customWidth="1"/>
    <col min="10507" max="10507" width="10.44140625" style="2" customWidth="1"/>
    <col min="10508" max="10755" width="8.88671875" style="2"/>
    <col min="10756" max="10756" width="21" style="2" customWidth="1"/>
    <col min="10757" max="10759" width="12.88671875" style="2" customWidth="1"/>
    <col min="10760" max="10760" width="14.6640625" style="2" customWidth="1"/>
    <col min="10761" max="10761" width="9.33203125" style="2" customWidth="1"/>
    <col min="10762" max="10762" width="13.88671875" style="2" customWidth="1"/>
    <col min="10763" max="10763" width="10.44140625" style="2" customWidth="1"/>
    <col min="10764" max="11011" width="8.88671875" style="2"/>
    <col min="11012" max="11012" width="21" style="2" customWidth="1"/>
    <col min="11013" max="11015" width="12.88671875" style="2" customWidth="1"/>
    <col min="11016" max="11016" width="14.6640625" style="2" customWidth="1"/>
    <col min="11017" max="11017" width="9.33203125" style="2" customWidth="1"/>
    <col min="11018" max="11018" width="13.88671875" style="2" customWidth="1"/>
    <col min="11019" max="11019" width="10.44140625" style="2" customWidth="1"/>
    <col min="11020" max="11267" width="8.88671875" style="2"/>
    <col min="11268" max="11268" width="21" style="2" customWidth="1"/>
    <col min="11269" max="11271" width="12.88671875" style="2" customWidth="1"/>
    <col min="11272" max="11272" width="14.6640625" style="2" customWidth="1"/>
    <col min="11273" max="11273" width="9.33203125" style="2" customWidth="1"/>
    <col min="11274" max="11274" width="13.88671875" style="2" customWidth="1"/>
    <col min="11275" max="11275" width="10.44140625" style="2" customWidth="1"/>
    <col min="11276" max="11523" width="8.88671875" style="2"/>
    <col min="11524" max="11524" width="21" style="2" customWidth="1"/>
    <col min="11525" max="11527" width="12.88671875" style="2" customWidth="1"/>
    <col min="11528" max="11528" width="14.6640625" style="2" customWidth="1"/>
    <col min="11529" max="11529" width="9.33203125" style="2" customWidth="1"/>
    <col min="11530" max="11530" width="13.88671875" style="2" customWidth="1"/>
    <col min="11531" max="11531" width="10.44140625" style="2" customWidth="1"/>
    <col min="11532" max="11779" width="8.88671875" style="2"/>
    <col min="11780" max="11780" width="21" style="2" customWidth="1"/>
    <col min="11781" max="11783" width="12.88671875" style="2" customWidth="1"/>
    <col min="11784" max="11784" width="14.6640625" style="2" customWidth="1"/>
    <col min="11785" max="11785" width="9.33203125" style="2" customWidth="1"/>
    <col min="11786" max="11786" width="13.88671875" style="2" customWidth="1"/>
    <col min="11787" max="11787" width="10.44140625" style="2" customWidth="1"/>
    <col min="11788" max="12035" width="8.88671875" style="2"/>
    <col min="12036" max="12036" width="21" style="2" customWidth="1"/>
    <col min="12037" max="12039" width="12.88671875" style="2" customWidth="1"/>
    <col min="12040" max="12040" width="14.6640625" style="2" customWidth="1"/>
    <col min="12041" max="12041" width="9.33203125" style="2" customWidth="1"/>
    <col min="12042" max="12042" width="13.88671875" style="2" customWidth="1"/>
    <col min="12043" max="12043" width="10.44140625" style="2" customWidth="1"/>
    <col min="12044" max="12291" width="8.88671875" style="2"/>
    <col min="12292" max="12292" width="21" style="2" customWidth="1"/>
    <col min="12293" max="12295" width="12.88671875" style="2" customWidth="1"/>
    <col min="12296" max="12296" width="14.6640625" style="2" customWidth="1"/>
    <col min="12297" max="12297" width="9.33203125" style="2" customWidth="1"/>
    <col min="12298" max="12298" width="13.88671875" style="2" customWidth="1"/>
    <col min="12299" max="12299" width="10.44140625" style="2" customWidth="1"/>
    <col min="12300" max="12547" width="8.88671875" style="2"/>
    <col min="12548" max="12548" width="21" style="2" customWidth="1"/>
    <col min="12549" max="12551" width="12.88671875" style="2" customWidth="1"/>
    <col min="12552" max="12552" width="14.6640625" style="2" customWidth="1"/>
    <col min="12553" max="12553" width="9.33203125" style="2" customWidth="1"/>
    <col min="12554" max="12554" width="13.88671875" style="2" customWidth="1"/>
    <col min="12555" max="12555" width="10.44140625" style="2" customWidth="1"/>
    <col min="12556" max="12803" width="8.88671875" style="2"/>
    <col min="12804" max="12804" width="21" style="2" customWidth="1"/>
    <col min="12805" max="12807" width="12.88671875" style="2" customWidth="1"/>
    <col min="12808" max="12808" width="14.6640625" style="2" customWidth="1"/>
    <col min="12809" max="12809" width="9.33203125" style="2" customWidth="1"/>
    <col min="12810" max="12810" width="13.88671875" style="2" customWidth="1"/>
    <col min="12811" max="12811" width="10.44140625" style="2" customWidth="1"/>
    <col min="12812" max="13059" width="8.88671875" style="2"/>
    <col min="13060" max="13060" width="21" style="2" customWidth="1"/>
    <col min="13061" max="13063" width="12.88671875" style="2" customWidth="1"/>
    <col min="13064" max="13064" width="14.6640625" style="2" customWidth="1"/>
    <col min="13065" max="13065" width="9.33203125" style="2" customWidth="1"/>
    <col min="13066" max="13066" width="13.88671875" style="2" customWidth="1"/>
    <col min="13067" max="13067" width="10.44140625" style="2" customWidth="1"/>
    <col min="13068" max="13315" width="8.88671875" style="2"/>
    <col min="13316" max="13316" width="21" style="2" customWidth="1"/>
    <col min="13317" max="13319" width="12.88671875" style="2" customWidth="1"/>
    <col min="13320" max="13320" width="14.6640625" style="2" customWidth="1"/>
    <col min="13321" max="13321" width="9.33203125" style="2" customWidth="1"/>
    <col min="13322" max="13322" width="13.88671875" style="2" customWidth="1"/>
    <col min="13323" max="13323" width="10.44140625" style="2" customWidth="1"/>
    <col min="13324" max="13571" width="8.88671875" style="2"/>
    <col min="13572" max="13572" width="21" style="2" customWidth="1"/>
    <col min="13573" max="13575" width="12.88671875" style="2" customWidth="1"/>
    <col min="13576" max="13576" width="14.6640625" style="2" customWidth="1"/>
    <col min="13577" max="13577" width="9.33203125" style="2" customWidth="1"/>
    <col min="13578" max="13578" width="13.88671875" style="2" customWidth="1"/>
    <col min="13579" max="13579" width="10.44140625" style="2" customWidth="1"/>
    <col min="13580" max="13827" width="8.88671875" style="2"/>
    <col min="13828" max="13828" width="21" style="2" customWidth="1"/>
    <col min="13829" max="13831" width="12.88671875" style="2" customWidth="1"/>
    <col min="13832" max="13832" width="14.6640625" style="2" customWidth="1"/>
    <col min="13833" max="13833" width="9.33203125" style="2" customWidth="1"/>
    <col min="13834" max="13834" width="13.88671875" style="2" customWidth="1"/>
    <col min="13835" max="13835" width="10.44140625" style="2" customWidth="1"/>
    <col min="13836" max="14083" width="8.88671875" style="2"/>
    <col min="14084" max="14084" width="21" style="2" customWidth="1"/>
    <col min="14085" max="14087" width="12.88671875" style="2" customWidth="1"/>
    <col min="14088" max="14088" width="14.6640625" style="2" customWidth="1"/>
    <col min="14089" max="14089" width="9.33203125" style="2" customWidth="1"/>
    <col min="14090" max="14090" width="13.88671875" style="2" customWidth="1"/>
    <col min="14091" max="14091" width="10.44140625" style="2" customWidth="1"/>
    <col min="14092" max="14339" width="8.88671875" style="2"/>
    <col min="14340" max="14340" width="21" style="2" customWidth="1"/>
    <col min="14341" max="14343" width="12.88671875" style="2" customWidth="1"/>
    <col min="14344" max="14344" width="14.6640625" style="2" customWidth="1"/>
    <col min="14345" max="14345" width="9.33203125" style="2" customWidth="1"/>
    <col min="14346" max="14346" width="13.88671875" style="2" customWidth="1"/>
    <col min="14347" max="14347" width="10.44140625" style="2" customWidth="1"/>
    <col min="14348" max="14595" width="8.88671875" style="2"/>
    <col min="14596" max="14596" width="21" style="2" customWidth="1"/>
    <col min="14597" max="14599" width="12.88671875" style="2" customWidth="1"/>
    <col min="14600" max="14600" width="14.6640625" style="2" customWidth="1"/>
    <col min="14601" max="14601" width="9.33203125" style="2" customWidth="1"/>
    <col min="14602" max="14602" width="13.88671875" style="2" customWidth="1"/>
    <col min="14603" max="14603" width="10.44140625" style="2" customWidth="1"/>
    <col min="14604" max="14851" width="8.88671875" style="2"/>
    <col min="14852" max="14852" width="21" style="2" customWidth="1"/>
    <col min="14853" max="14855" width="12.88671875" style="2" customWidth="1"/>
    <col min="14856" max="14856" width="14.6640625" style="2" customWidth="1"/>
    <col min="14857" max="14857" width="9.33203125" style="2" customWidth="1"/>
    <col min="14858" max="14858" width="13.88671875" style="2" customWidth="1"/>
    <col min="14859" max="14859" width="10.44140625" style="2" customWidth="1"/>
    <col min="14860" max="15107" width="8.88671875" style="2"/>
    <col min="15108" max="15108" width="21" style="2" customWidth="1"/>
    <col min="15109" max="15111" width="12.88671875" style="2" customWidth="1"/>
    <col min="15112" max="15112" width="14.6640625" style="2" customWidth="1"/>
    <col min="15113" max="15113" width="9.33203125" style="2" customWidth="1"/>
    <col min="15114" max="15114" width="13.88671875" style="2" customWidth="1"/>
    <col min="15115" max="15115" width="10.44140625" style="2" customWidth="1"/>
    <col min="15116" max="15363" width="8.88671875" style="2"/>
    <col min="15364" max="15364" width="21" style="2" customWidth="1"/>
    <col min="15365" max="15367" width="12.88671875" style="2" customWidth="1"/>
    <col min="15368" max="15368" width="14.6640625" style="2" customWidth="1"/>
    <col min="15369" max="15369" width="9.33203125" style="2" customWidth="1"/>
    <col min="15370" max="15370" width="13.88671875" style="2" customWidth="1"/>
    <col min="15371" max="15371" width="10.44140625" style="2" customWidth="1"/>
    <col min="15372" max="15619" width="8.88671875" style="2"/>
    <col min="15620" max="15620" width="21" style="2" customWidth="1"/>
    <col min="15621" max="15623" width="12.88671875" style="2" customWidth="1"/>
    <col min="15624" max="15624" width="14.6640625" style="2" customWidth="1"/>
    <col min="15625" max="15625" width="9.33203125" style="2" customWidth="1"/>
    <col min="15626" max="15626" width="13.88671875" style="2" customWidth="1"/>
    <col min="15627" max="15627" width="10.44140625" style="2" customWidth="1"/>
    <col min="15628" max="15875" width="8.88671875" style="2"/>
    <col min="15876" max="15876" width="21" style="2" customWidth="1"/>
    <col min="15877" max="15879" width="12.88671875" style="2" customWidth="1"/>
    <col min="15880" max="15880" width="14.6640625" style="2" customWidth="1"/>
    <col min="15881" max="15881" width="9.33203125" style="2" customWidth="1"/>
    <col min="15882" max="15882" width="13.88671875" style="2" customWidth="1"/>
    <col min="15883" max="15883" width="10.44140625" style="2" customWidth="1"/>
    <col min="15884" max="16131" width="8.88671875" style="2"/>
    <col min="16132" max="16132" width="21" style="2" customWidth="1"/>
    <col min="16133" max="16135" width="12.88671875" style="2" customWidth="1"/>
    <col min="16136" max="16136" width="14.6640625" style="2" customWidth="1"/>
    <col min="16137" max="16137" width="9.33203125" style="2" customWidth="1"/>
    <col min="16138" max="16138" width="13.88671875" style="2" customWidth="1"/>
    <col min="16139" max="16139" width="10.44140625" style="2" customWidth="1"/>
    <col min="16140" max="16384" width="8.8867187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 t="s">
        <v>116</v>
      </c>
      <c r="B4" s="1"/>
      <c r="C4" s="1"/>
      <c r="D4" s="1" t="s">
        <v>117</v>
      </c>
      <c r="E4" s="1"/>
      <c r="F4" s="1" t="s">
        <v>118</v>
      </c>
      <c r="G4" s="1"/>
      <c r="H4" s="1" t="s">
        <v>119</v>
      </c>
      <c r="I4" s="1"/>
      <c r="J4" s="1" t="s">
        <v>120</v>
      </c>
      <c r="K4" s="1"/>
      <c r="L4" s="1"/>
    </row>
    <row r="5" spans="1:12" x14ac:dyDescent="0.2">
      <c r="J5" s="59" t="s">
        <v>7</v>
      </c>
    </row>
    <row r="6" spans="1:12" x14ac:dyDescent="0.2">
      <c r="A6" s="2">
        <v>1</v>
      </c>
      <c r="B6" s="60" t="s">
        <v>121</v>
      </c>
      <c r="C6" s="60"/>
      <c r="D6" s="60"/>
      <c r="E6" s="60"/>
      <c r="F6" s="60"/>
      <c r="G6" s="60"/>
      <c r="H6" s="60"/>
      <c r="I6" s="60"/>
      <c r="J6" s="60"/>
      <c r="K6" s="61"/>
    </row>
    <row r="7" spans="1:12" x14ac:dyDescent="0.2">
      <c r="B7" s="61" t="s">
        <v>122</v>
      </c>
      <c r="C7" s="61"/>
      <c r="D7" s="61">
        <f>F12</f>
        <v>935.34999999999991</v>
      </c>
      <c r="E7" s="61"/>
      <c r="F7" s="61">
        <f>H12</f>
        <v>1537.85</v>
      </c>
      <c r="G7" s="61"/>
      <c r="H7" s="61">
        <v>1407</v>
      </c>
      <c r="I7" s="61"/>
      <c r="J7" s="61">
        <v>1076.56</v>
      </c>
      <c r="K7" s="61"/>
      <c r="L7" s="7"/>
    </row>
    <row r="8" spans="1:12" x14ac:dyDescent="0.2">
      <c r="B8" s="61" t="s">
        <v>123</v>
      </c>
      <c r="C8" s="61"/>
      <c r="D8" s="61">
        <f>accountsye311224!$C$30</f>
        <v>1329.8</v>
      </c>
      <c r="E8" s="61"/>
      <c r="F8" s="61">
        <v>0</v>
      </c>
      <c r="G8" s="61"/>
      <c r="H8" s="62">
        <v>806.85</v>
      </c>
      <c r="I8" s="61"/>
      <c r="J8" s="62">
        <f>+'[5]Trial Balance 2021'!J18</f>
        <v>2408.4</v>
      </c>
      <c r="K8" s="61"/>
      <c r="L8" s="7"/>
    </row>
    <row r="9" spans="1:12" x14ac:dyDescent="0.2">
      <c r="B9" s="61"/>
      <c r="C9" s="61"/>
      <c r="D9" s="63">
        <f>SUM(D7:D8)</f>
        <v>2265.1499999999996</v>
      </c>
      <c r="E9" s="61"/>
      <c r="F9" s="63">
        <f>SUM(F7:F8)</f>
        <v>1537.85</v>
      </c>
      <c r="G9" s="61"/>
      <c r="H9" s="61">
        <f>SUM(H7:H8)</f>
        <v>2213.85</v>
      </c>
      <c r="I9" s="61"/>
      <c r="J9" s="61">
        <f>+J7+J8</f>
        <v>3484.96</v>
      </c>
      <c r="K9" s="61"/>
      <c r="L9" s="7"/>
    </row>
    <row r="10" spans="1:12" x14ac:dyDescent="0.2">
      <c r="B10" s="61" t="s">
        <v>124</v>
      </c>
      <c r="C10" s="61"/>
      <c r="D10" s="61">
        <f>accountsye311224!$C$15</f>
        <v>644</v>
      </c>
      <c r="E10" s="61"/>
      <c r="F10" s="61">
        <v>602.5</v>
      </c>
      <c r="G10" s="61"/>
      <c r="H10" s="61">
        <v>676</v>
      </c>
      <c r="I10" s="61"/>
      <c r="J10" s="61">
        <f>-'[5]Trial Balance 2021'!J13-'[5]Trial Balance 2021'!J14-'[5]Trial Balance 2021'!J15</f>
        <v>1310.47</v>
      </c>
      <c r="K10" s="61"/>
      <c r="L10" s="7"/>
    </row>
    <row r="11" spans="1:12" x14ac:dyDescent="0.2">
      <c r="B11" s="61" t="s">
        <v>125</v>
      </c>
      <c r="C11" s="61"/>
      <c r="D11" s="61"/>
      <c r="E11" s="61"/>
      <c r="F11" s="61"/>
      <c r="G11" s="61"/>
      <c r="H11" s="62">
        <v>0</v>
      </c>
      <c r="I11" s="61"/>
      <c r="J11" s="61">
        <v>0</v>
      </c>
      <c r="K11" s="61"/>
      <c r="L11" s="7"/>
    </row>
    <row r="12" spans="1:12" x14ac:dyDescent="0.2">
      <c r="B12" s="61" t="s">
        <v>126</v>
      </c>
      <c r="C12" s="61"/>
      <c r="D12" s="64">
        <f>+D9-D10</f>
        <v>1621.1499999999996</v>
      </c>
      <c r="E12" s="61"/>
      <c r="F12" s="64">
        <f>+F9-F10</f>
        <v>935.34999999999991</v>
      </c>
      <c r="G12" s="61"/>
      <c r="H12" s="64">
        <f>+H9-H10</f>
        <v>1537.85</v>
      </c>
      <c r="I12" s="61"/>
      <c r="J12" s="12">
        <f>-'[5]Trial Balance 2021'!G4</f>
        <v>1407</v>
      </c>
      <c r="K12" s="61"/>
      <c r="L12" s="7"/>
    </row>
    <row r="13" spans="1:12" x14ac:dyDescent="0.2">
      <c r="B13" s="60" t="s">
        <v>127</v>
      </c>
      <c r="C13" s="60"/>
      <c r="D13" s="64">
        <f>+D9-D10-D12</f>
        <v>0</v>
      </c>
      <c r="E13" s="60"/>
      <c r="F13" s="64">
        <f>+F9-F10-F12</f>
        <v>0</v>
      </c>
      <c r="G13" s="60"/>
      <c r="H13" s="64">
        <f>+H9-H10-H12</f>
        <v>0</v>
      </c>
      <c r="I13" s="60"/>
      <c r="J13" s="65">
        <v>767.43</v>
      </c>
      <c r="K13" s="61"/>
      <c r="L13" s="7"/>
    </row>
    <row r="14" spans="1:12" x14ac:dyDescent="0.2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7"/>
    </row>
    <row r="15" spans="1:12" x14ac:dyDescent="0.2">
      <c r="A15" s="2">
        <v>2</v>
      </c>
      <c r="B15" s="60" t="s">
        <v>128</v>
      </c>
      <c r="C15" s="61"/>
      <c r="D15" s="61"/>
      <c r="E15" s="61"/>
      <c r="F15" s="61"/>
      <c r="G15" s="61"/>
      <c r="H15" s="61"/>
      <c r="I15" s="61"/>
      <c r="J15" s="61"/>
      <c r="K15" s="61"/>
      <c r="L15" s="7"/>
    </row>
    <row r="16" spans="1:12" x14ac:dyDescent="0.2">
      <c r="B16" s="61" t="s">
        <v>129</v>
      </c>
      <c r="C16" s="61"/>
      <c r="D16" s="61">
        <f>accountsye311224!$C$10</f>
        <v>1666</v>
      </c>
      <c r="E16" s="61"/>
      <c r="F16" s="61"/>
      <c r="G16" s="61"/>
      <c r="H16" s="61"/>
      <c r="I16" s="61"/>
      <c r="J16" s="61"/>
      <c r="K16" s="61"/>
      <c r="L16" s="7"/>
    </row>
    <row r="17" spans="1:12" x14ac:dyDescent="0.2">
      <c r="B17" s="61" t="s">
        <v>130</v>
      </c>
      <c r="C17" s="61"/>
      <c r="D17" s="61">
        <f>accountsye311224!$C$11</f>
        <v>1030.25</v>
      </c>
      <c r="E17" s="61"/>
      <c r="F17" s="61"/>
      <c r="G17" s="61"/>
      <c r="H17" s="61"/>
      <c r="I17" s="61"/>
      <c r="J17" s="61"/>
      <c r="K17" s="61"/>
      <c r="L17" s="7"/>
    </row>
    <row r="18" spans="1:12" x14ac:dyDescent="0.2">
      <c r="B18" s="61" t="s">
        <v>131</v>
      </c>
      <c r="C18" s="61"/>
      <c r="D18" s="61">
        <f>-(accountsye311224!$C$41+accountsye311224!$C$42+accountsye311224!$C$43+accountsye311224!$C$44)</f>
        <v>-1172.6300000000001</v>
      </c>
      <c r="E18" s="61"/>
      <c r="F18" s="61"/>
      <c r="G18" s="61"/>
      <c r="H18" s="61"/>
      <c r="I18" s="61"/>
      <c r="J18" s="61"/>
      <c r="K18" s="61"/>
      <c r="L18" s="7"/>
    </row>
    <row r="19" spans="1:12" x14ac:dyDescent="0.2">
      <c r="B19" s="61"/>
      <c r="C19" s="61"/>
      <c r="D19" s="64">
        <f>SUM(D16:D18)</f>
        <v>1523.62</v>
      </c>
      <c r="E19" s="61"/>
      <c r="F19" s="61"/>
      <c r="G19" s="61"/>
      <c r="H19" s="61"/>
      <c r="I19" s="61"/>
      <c r="J19" s="61"/>
      <c r="K19" s="61"/>
      <c r="L19" s="7"/>
    </row>
    <row r="20" spans="1:12" x14ac:dyDescent="0.2">
      <c r="L20" s="7"/>
    </row>
    <row r="21" spans="1:12" x14ac:dyDescent="0.2">
      <c r="A21" s="2">
        <v>3</v>
      </c>
      <c r="B21" s="60" t="s">
        <v>132</v>
      </c>
      <c r="C21" s="60"/>
      <c r="D21" s="60"/>
      <c r="E21" s="60"/>
      <c r="F21" s="60"/>
      <c r="G21" s="60"/>
      <c r="H21" s="60"/>
      <c r="I21" s="60"/>
      <c r="J21" s="60"/>
      <c r="L21" s="7"/>
    </row>
    <row r="22" spans="1:12" x14ac:dyDescent="0.2">
      <c r="B22" s="61" t="s">
        <v>129</v>
      </c>
      <c r="C22" s="61"/>
      <c r="D22" s="61">
        <f>accountsye311224!$C$13</f>
        <v>6253.16</v>
      </c>
      <c r="E22" s="61"/>
      <c r="F22" s="61">
        <v>2198.4</v>
      </c>
      <c r="G22" s="61"/>
      <c r="H22" s="61">
        <f>-'[5]TB 2022'!E13</f>
        <v>4797.58</v>
      </c>
      <c r="I22" s="61"/>
      <c r="J22" s="61">
        <f>-'[5]Trial Balance 2021'!J12</f>
        <v>5345.9</v>
      </c>
      <c r="L22" s="7"/>
    </row>
    <row r="23" spans="1:12" x14ac:dyDescent="0.2">
      <c r="B23" s="61" t="s">
        <v>133</v>
      </c>
      <c r="C23" s="61"/>
      <c r="D23" s="61">
        <f>accountsye311224!C61</f>
        <v>2198.3999999999996</v>
      </c>
      <c r="E23" s="61"/>
      <c r="F23" s="61">
        <v>0</v>
      </c>
      <c r="G23" s="61"/>
      <c r="H23" s="61">
        <v>0</v>
      </c>
      <c r="I23" s="61"/>
      <c r="J23" s="61">
        <v>0</v>
      </c>
      <c r="L23" s="7"/>
    </row>
    <row r="24" spans="1:12" x14ac:dyDescent="0.2">
      <c r="B24" s="61" t="s">
        <v>134</v>
      </c>
      <c r="C24" s="61"/>
      <c r="D24" s="61">
        <f>accountsye311224!C62</f>
        <v>1159.6799999999998</v>
      </c>
      <c r="E24" s="61"/>
      <c r="F24" s="61">
        <v>-2198.4</v>
      </c>
      <c r="G24" s="61"/>
      <c r="H24" s="61">
        <v>0</v>
      </c>
      <c r="I24" s="61"/>
      <c r="J24" s="61">
        <v>0</v>
      </c>
      <c r="L24" s="7"/>
    </row>
    <row r="25" spans="1:12" x14ac:dyDescent="0.2">
      <c r="B25" s="61" t="s">
        <v>135</v>
      </c>
      <c r="C25" s="61"/>
      <c r="D25" s="64">
        <f>D22+D23-D24</f>
        <v>7291.8799999999992</v>
      </c>
      <c r="E25" s="61"/>
      <c r="F25" s="64">
        <f>SUM(F22:F24)</f>
        <v>0</v>
      </c>
      <c r="G25" s="61"/>
      <c r="H25" s="64">
        <f>SUM(H22:H24)</f>
        <v>4797.58</v>
      </c>
      <c r="I25" s="61"/>
      <c r="J25" s="64">
        <f>SUM(J22:J24)</f>
        <v>5345.9</v>
      </c>
      <c r="L25" s="7"/>
    </row>
    <row r="26" spans="1:12" x14ac:dyDescent="0.2">
      <c r="L26" s="7"/>
    </row>
    <row r="27" spans="1:12" x14ac:dyDescent="0.2">
      <c r="B27" s="61" t="s">
        <v>17</v>
      </c>
      <c r="C27" s="61"/>
      <c r="D27" s="61">
        <f>[4]accountsye311224!$C$45</f>
        <v>5736.8899999999994</v>
      </c>
      <c r="E27" s="61"/>
      <c r="F27" s="61"/>
      <c r="G27" s="61"/>
      <c r="H27" s="61">
        <f>+'[5]TB 2022'!F24</f>
        <v>3353.52</v>
      </c>
      <c r="I27" s="61"/>
      <c r="J27" s="61">
        <f>+'[5]Trial Balance 2021'!J23</f>
        <v>3828.83</v>
      </c>
      <c r="L27" s="7"/>
    </row>
    <row r="28" spans="1:12" x14ac:dyDescent="0.2">
      <c r="B28" s="61" t="s">
        <v>136</v>
      </c>
      <c r="C28" s="61"/>
      <c r="D28" s="61">
        <f>'[4]overall detail'!$AD$1171</f>
        <v>350</v>
      </c>
      <c r="E28" s="61"/>
      <c r="F28" s="61">
        <v>370</v>
      </c>
      <c r="G28" s="61"/>
      <c r="H28" s="61">
        <v>0</v>
      </c>
      <c r="I28" s="61"/>
      <c r="J28" s="61">
        <v>0</v>
      </c>
      <c r="L28" s="7"/>
    </row>
    <row r="29" spans="1:12" x14ac:dyDescent="0.2">
      <c r="L29" s="7"/>
    </row>
    <row r="30" spans="1:12" x14ac:dyDescent="0.2">
      <c r="B30" s="61" t="s">
        <v>137</v>
      </c>
      <c r="C30" s="61"/>
      <c r="D30" s="64">
        <f>+D25-D27-D28</f>
        <v>1204.9899999999998</v>
      </c>
      <c r="E30" s="61"/>
      <c r="F30" s="64">
        <f>+F25-F27-F28</f>
        <v>-370</v>
      </c>
      <c r="G30" s="61"/>
      <c r="H30" s="64">
        <f>+H25-H27</f>
        <v>1444.06</v>
      </c>
      <c r="I30" s="61"/>
      <c r="J30" s="64">
        <f>+J25-J27</f>
        <v>1517.0699999999997</v>
      </c>
      <c r="K30" s="61"/>
      <c r="L30" s="7"/>
    </row>
    <row r="31" spans="1:12" x14ac:dyDescent="0.2">
      <c r="L31" s="7"/>
    </row>
    <row r="32" spans="1:12" x14ac:dyDescent="0.2">
      <c r="A32" s="2">
        <v>4</v>
      </c>
      <c r="B32" s="1" t="s">
        <v>12</v>
      </c>
      <c r="L32" s="7"/>
    </row>
    <row r="33" spans="1:12" x14ac:dyDescent="0.2">
      <c r="B33" s="61" t="s">
        <v>129</v>
      </c>
      <c r="D33" s="2">
        <f>accountsye311224!$C$7+accountsye311224!$C$8</f>
        <v>5566.92</v>
      </c>
      <c r="L33" s="7"/>
    </row>
    <row r="34" spans="1:12" x14ac:dyDescent="0.2">
      <c r="B34" s="2" t="s">
        <v>131</v>
      </c>
      <c r="D34" s="2">
        <f>accountsye311224!$C$34+accountsye311224!$C$35+accountsye311224!$C$37+accountsye311224!$C$38+accountsye311224!$C$39</f>
        <v>4250.42</v>
      </c>
      <c r="L34" s="7"/>
    </row>
    <row r="35" spans="1:12" x14ac:dyDescent="0.2">
      <c r="D35" s="64">
        <f>D33-D34</f>
        <v>1316.5</v>
      </c>
      <c r="L35" s="7"/>
    </row>
    <row r="36" spans="1:12" x14ac:dyDescent="0.2">
      <c r="B36" s="2" t="s">
        <v>138</v>
      </c>
      <c r="D36" s="66">
        <f>-accountsye311224!$C$40</f>
        <v>-16</v>
      </c>
      <c r="L36" s="7"/>
    </row>
    <row r="37" spans="1:12" x14ac:dyDescent="0.2">
      <c r="D37" s="64">
        <f>SUM(D35:D36)</f>
        <v>1300.5</v>
      </c>
      <c r="L37" s="7"/>
    </row>
    <row r="38" spans="1:12" x14ac:dyDescent="0.2">
      <c r="L38" s="7"/>
    </row>
    <row r="39" spans="1:12" x14ac:dyDescent="0.2">
      <c r="L39" s="7"/>
    </row>
    <row r="40" spans="1:12" x14ac:dyDescent="0.2">
      <c r="A40" s="2">
        <v>5</v>
      </c>
      <c r="B40" s="1" t="s">
        <v>139</v>
      </c>
      <c r="L40" s="7"/>
    </row>
    <row r="41" spans="1:12" x14ac:dyDescent="0.2">
      <c r="B41" s="2" t="s">
        <v>140</v>
      </c>
      <c r="D41" s="66">
        <f>-'[4]Junior Budget 2024'!$L$10</f>
        <v>-1142.49</v>
      </c>
      <c r="L41" s="7"/>
    </row>
    <row r="42" spans="1:12" x14ac:dyDescent="0.2">
      <c r="B42" s="2" t="s">
        <v>141</v>
      </c>
      <c r="D42" s="66">
        <f>-'[4]Junior Budget 2024'!$L$11+'[4]Junior Budget 2024'!$L$5</f>
        <v>-855</v>
      </c>
      <c r="L42" s="7"/>
    </row>
    <row r="43" spans="1:12" x14ac:dyDescent="0.2">
      <c r="B43" s="2" t="s">
        <v>142</v>
      </c>
      <c r="D43" s="66">
        <f>-'[4]Junior Budget 2024'!$L$12</f>
        <v>-114.15</v>
      </c>
      <c r="L43" s="7"/>
    </row>
    <row r="44" spans="1:12" x14ac:dyDescent="0.2">
      <c r="B44" s="2" t="s">
        <v>143</v>
      </c>
      <c r="D44" s="66">
        <f>-'[4]Junior Budget 2024'!$L$14</f>
        <v>-513.5</v>
      </c>
      <c r="L44" s="7"/>
    </row>
    <row r="45" spans="1:12" x14ac:dyDescent="0.2">
      <c r="B45" s="2" t="s">
        <v>144</v>
      </c>
      <c r="D45" s="66">
        <f>-'[4]Junior Budget 2024'!$L$15+'[4]Junior Budget 2024'!$L$4</f>
        <v>-91.800000000000011</v>
      </c>
      <c r="L45" s="7"/>
    </row>
    <row r="46" spans="1:12" x14ac:dyDescent="0.2">
      <c r="B46" s="2" t="s">
        <v>145</v>
      </c>
      <c r="D46" s="66">
        <f>D47-D41-D42-D43-D44-D45</f>
        <v>-454.77999999999969</v>
      </c>
      <c r="L46" s="7"/>
    </row>
    <row r="47" spans="1:12" x14ac:dyDescent="0.2">
      <c r="D47" s="67">
        <f>-3171.72</f>
        <v>-3171.72</v>
      </c>
      <c r="E47" s="66"/>
      <c r="L47" s="7"/>
    </row>
    <row r="48" spans="1:12" x14ac:dyDescent="0.2">
      <c r="L48" s="7"/>
    </row>
    <row r="49" spans="1:12" x14ac:dyDescent="0.2">
      <c r="A49" s="2">
        <v>6</v>
      </c>
      <c r="B49" s="1" t="s">
        <v>146</v>
      </c>
      <c r="L49" s="7"/>
    </row>
    <row r="50" spans="1:12" x14ac:dyDescent="0.2">
      <c r="B50" s="2" t="s">
        <v>147</v>
      </c>
      <c r="D50" s="66">
        <f>accountsye311224!$C$19</f>
        <v>3003.5</v>
      </c>
      <c r="L50" s="7"/>
    </row>
    <row r="51" spans="1:12" x14ac:dyDescent="0.2">
      <c r="B51" s="2" t="s">
        <v>148</v>
      </c>
      <c r="D51" s="66">
        <f>accountsye311224!$C$59</f>
        <v>1610</v>
      </c>
      <c r="L51" s="7"/>
    </row>
    <row r="52" spans="1:12" x14ac:dyDescent="0.2">
      <c r="B52" s="2" t="s">
        <v>149</v>
      </c>
      <c r="D52" s="66">
        <f>-accountsye311224!$C$60</f>
        <v>-2080.5</v>
      </c>
      <c r="L52" s="7"/>
    </row>
    <row r="53" spans="1:12" x14ac:dyDescent="0.2">
      <c r="B53" s="2" t="s">
        <v>150</v>
      </c>
      <c r="D53" s="68">
        <f>SUM(D50:D52)</f>
        <v>2533</v>
      </c>
      <c r="L53" s="7"/>
    </row>
    <row r="54" spans="1:12" x14ac:dyDescent="0.2">
      <c r="B54" s="2" t="s">
        <v>151</v>
      </c>
      <c r="D54" s="2">
        <f>accountsye311224!$C$48</f>
        <v>2500.42</v>
      </c>
      <c r="L54" s="7"/>
    </row>
    <row r="55" spans="1:12" x14ac:dyDescent="0.2">
      <c r="B55" s="2" t="s">
        <v>152</v>
      </c>
      <c r="D55" s="2">
        <v>114.5</v>
      </c>
      <c r="L55" s="7"/>
    </row>
    <row r="56" spans="1:12" x14ac:dyDescent="0.2">
      <c r="B56" s="2" t="s">
        <v>153</v>
      </c>
      <c r="D56" s="68">
        <f>D54-D55</f>
        <v>2385.92</v>
      </c>
      <c r="L56" s="7"/>
    </row>
    <row r="57" spans="1:12" x14ac:dyDescent="0.2">
      <c r="B57" s="2" t="s">
        <v>154</v>
      </c>
      <c r="D57" s="66">
        <f>D53-D56</f>
        <v>147.07999999999993</v>
      </c>
      <c r="L57" s="7"/>
    </row>
    <row r="58" spans="1:12" x14ac:dyDescent="0.2">
      <c r="D58" s="66"/>
      <c r="L58" s="7"/>
    </row>
    <row r="59" spans="1:12" x14ac:dyDescent="0.2">
      <c r="B59" s="2" t="s">
        <v>155</v>
      </c>
      <c r="D59" s="2">
        <f>accountsye311224!$C$20</f>
        <v>5830.5300000000007</v>
      </c>
      <c r="L59" s="7"/>
    </row>
    <row r="60" spans="1:12" x14ac:dyDescent="0.2">
      <c r="B60" s="2" t="s">
        <v>156</v>
      </c>
      <c r="C60" s="2" t="s">
        <v>157</v>
      </c>
      <c r="D60" s="2">
        <v>656.5</v>
      </c>
      <c r="L60" s="7"/>
    </row>
    <row r="61" spans="1:12" x14ac:dyDescent="0.2">
      <c r="B61" s="2" t="s">
        <v>148</v>
      </c>
      <c r="C61" s="2" t="s">
        <v>157</v>
      </c>
      <c r="D61" s="2">
        <v>591.25</v>
      </c>
      <c r="L61" s="7"/>
    </row>
    <row r="62" spans="1:12" x14ac:dyDescent="0.2">
      <c r="D62" s="67">
        <f>D59-D60+D61</f>
        <v>5765.2800000000007</v>
      </c>
      <c r="L62" s="7"/>
    </row>
    <row r="63" spans="1:12" x14ac:dyDescent="0.2">
      <c r="B63" s="2" t="s">
        <v>158</v>
      </c>
      <c r="D63" s="2">
        <f>accountsye311224!$C$49</f>
        <v>6803.11</v>
      </c>
      <c r="L63" s="7"/>
    </row>
    <row r="64" spans="1:12" x14ac:dyDescent="0.2">
      <c r="B64" s="2" t="s">
        <v>159</v>
      </c>
      <c r="C64" s="2" t="s">
        <v>157</v>
      </c>
      <c r="D64" s="66">
        <v>1733</v>
      </c>
      <c r="L64" s="7"/>
    </row>
    <row r="65" spans="1:12" x14ac:dyDescent="0.2">
      <c r="B65" s="2" t="s">
        <v>160</v>
      </c>
      <c r="C65" s="2" t="s">
        <v>157</v>
      </c>
      <c r="D65" s="2">
        <v>750.01</v>
      </c>
      <c r="L65" s="7"/>
    </row>
    <row r="66" spans="1:12" x14ac:dyDescent="0.2">
      <c r="D66" s="68">
        <f>D63-D64+D65</f>
        <v>5820.12</v>
      </c>
      <c r="L66" s="7"/>
    </row>
    <row r="67" spans="1:12" x14ac:dyDescent="0.2">
      <c r="B67" s="2" t="s">
        <v>161</v>
      </c>
      <c r="D67" s="66">
        <f>D62-D66</f>
        <v>-54.839999999999236</v>
      </c>
      <c r="L67" s="7"/>
    </row>
    <row r="68" spans="1:12" x14ac:dyDescent="0.2">
      <c r="L68" s="7"/>
    </row>
    <row r="69" spans="1:12" x14ac:dyDescent="0.2">
      <c r="A69" s="2">
        <v>7</v>
      </c>
      <c r="B69" s="1" t="s">
        <v>162</v>
      </c>
      <c r="L69" s="7"/>
    </row>
    <row r="70" spans="1:12" x14ac:dyDescent="0.2">
      <c r="L70" s="7"/>
    </row>
    <row r="71" spans="1:12" x14ac:dyDescent="0.2">
      <c r="B71" s="2" t="s">
        <v>163</v>
      </c>
      <c r="C71" s="2" t="s">
        <v>164</v>
      </c>
      <c r="D71" s="2">
        <f>57.45+61.99+68.98+15</f>
        <v>203.42000000000002</v>
      </c>
      <c r="L71" s="7"/>
    </row>
    <row r="72" spans="1:12" x14ac:dyDescent="0.2">
      <c r="B72" s="2" t="s">
        <v>165</v>
      </c>
      <c r="C72" s="2" t="s">
        <v>166</v>
      </c>
      <c r="D72" s="2">
        <f>160+215+26.04</f>
        <v>401.04</v>
      </c>
      <c r="L72" s="7"/>
    </row>
    <row r="73" spans="1:12" x14ac:dyDescent="0.2">
      <c r="B73" s="2" t="s">
        <v>167</v>
      </c>
      <c r="C73" s="2" t="s">
        <v>168</v>
      </c>
      <c r="D73" s="2">
        <f>30.38+79.06+28.78+95</f>
        <v>233.22</v>
      </c>
      <c r="L73" s="7"/>
    </row>
    <row r="74" spans="1:12" x14ac:dyDescent="0.2">
      <c r="B74" s="2" t="s">
        <v>169</v>
      </c>
      <c r="C74" s="2" t="s">
        <v>170</v>
      </c>
      <c r="D74" s="2">
        <f>40.23+168.55+50+47.5+86</f>
        <v>392.28</v>
      </c>
      <c r="L74" s="7"/>
    </row>
    <row r="75" spans="1:12" x14ac:dyDescent="0.2">
      <c r="D75" s="67">
        <f>SUM(D71:D74)</f>
        <v>1229.96</v>
      </c>
      <c r="L75" s="7"/>
    </row>
    <row r="76" spans="1:12" x14ac:dyDescent="0.2">
      <c r="L76" s="7"/>
    </row>
    <row r="77" spans="1:12" x14ac:dyDescent="0.2">
      <c r="A77" s="2">
        <v>8</v>
      </c>
      <c r="B77" s="1" t="s">
        <v>92</v>
      </c>
      <c r="L77" s="7"/>
    </row>
    <row r="78" spans="1:12" x14ac:dyDescent="0.2">
      <c r="L78" s="7"/>
    </row>
    <row r="79" spans="1:12" x14ac:dyDescent="0.2">
      <c r="B79" s="2" t="s">
        <v>171</v>
      </c>
      <c r="D79" s="2">
        <v>1000</v>
      </c>
      <c r="L79" s="7"/>
    </row>
    <row r="80" spans="1:12" x14ac:dyDescent="0.2">
      <c r="B80" s="2" t="s">
        <v>172</v>
      </c>
      <c r="D80" s="2">
        <v>130</v>
      </c>
      <c r="L80" s="7"/>
    </row>
    <row r="81" spans="1:12" x14ac:dyDescent="0.2">
      <c r="B81" s="2" t="s">
        <v>173</v>
      </c>
      <c r="D81" s="2">
        <v>70</v>
      </c>
      <c r="L81" s="7"/>
    </row>
    <row r="82" spans="1:12" x14ac:dyDescent="0.2">
      <c r="L82" s="7"/>
    </row>
    <row r="83" spans="1:12" x14ac:dyDescent="0.2">
      <c r="A83" s="2">
        <v>9</v>
      </c>
      <c r="B83" s="60" t="s">
        <v>174</v>
      </c>
      <c r="C83" s="60"/>
      <c r="D83" s="60"/>
      <c r="E83" s="60"/>
      <c r="F83" s="60"/>
      <c r="G83" s="60"/>
      <c r="H83" s="60"/>
      <c r="I83" s="60"/>
      <c r="J83" s="60"/>
      <c r="L83" s="7"/>
    </row>
    <row r="84" spans="1:12" x14ac:dyDescent="0.2">
      <c r="B84" s="2" t="s">
        <v>175</v>
      </c>
      <c r="D84" s="2">
        <f>accountsye311224!$C$79</f>
        <v>4110.0800000000017</v>
      </c>
      <c r="F84" s="2">
        <v>14628.6</v>
      </c>
      <c r="H84" s="2">
        <v>12162.83</v>
      </c>
      <c r="J84" s="8">
        <f>+'[5]Trial Balance 2021'!J5-500-174.8</f>
        <v>12611.56</v>
      </c>
      <c r="L84" s="7"/>
    </row>
    <row r="85" spans="1:12" x14ac:dyDescent="0.2">
      <c r="B85" s="2" t="s">
        <v>176</v>
      </c>
      <c r="D85" s="69">
        <f>accountsye311224!$C$81</f>
        <v>12026.65</v>
      </c>
      <c r="J85" s="8"/>
      <c r="L85" s="7"/>
    </row>
    <row r="86" spans="1:12" x14ac:dyDescent="0.2">
      <c r="B86" s="61" t="s">
        <v>177</v>
      </c>
      <c r="C86" s="61"/>
      <c r="D86" s="61">
        <f>accountsye311224!$C$83+accountsye311224!$C$84</f>
        <v>500</v>
      </c>
      <c r="E86" s="61"/>
      <c r="F86" s="61">
        <v>500</v>
      </c>
      <c r="G86" s="61"/>
      <c r="H86" s="61">
        <v>500</v>
      </c>
      <c r="I86" s="61"/>
      <c r="J86" s="61">
        <v>500</v>
      </c>
      <c r="L86" s="7"/>
    </row>
    <row r="87" spans="1:12" x14ac:dyDescent="0.2">
      <c r="B87" s="2" t="s">
        <v>178</v>
      </c>
      <c r="D87" s="2">
        <f>accountsye311224!$C$85</f>
        <v>242.38000000000005</v>
      </c>
      <c r="F87" s="2">
        <v>375.43</v>
      </c>
      <c r="H87" s="2">
        <f>486.59-6.98</f>
        <v>479.60999999999996</v>
      </c>
      <c r="J87" s="7">
        <v>174.8</v>
      </c>
      <c r="L87" s="7"/>
    </row>
    <row r="88" spans="1:12" x14ac:dyDescent="0.2">
      <c r="B88" s="2" t="s">
        <v>39</v>
      </c>
      <c r="D88" s="70">
        <f>SUM(D84:D87)</f>
        <v>16879.110000000004</v>
      </c>
      <c r="F88" s="70">
        <f>SUM(F84:F87)-66.02+45</f>
        <v>15483.01</v>
      </c>
      <c r="H88" s="70">
        <f>SUM(H84:H87)-66.02+45</f>
        <v>13121.42</v>
      </c>
      <c r="J88" s="70">
        <f>SUM(J84:J87)</f>
        <v>13286.359999999999</v>
      </c>
    </row>
    <row r="90" spans="1:12" x14ac:dyDescent="0.2">
      <c r="F90" s="8"/>
      <c r="H90" s="8"/>
    </row>
    <row r="91" spans="1:12" x14ac:dyDescent="0.2">
      <c r="B91" s="2" t="s">
        <v>179</v>
      </c>
      <c r="D91" s="8">
        <f>D88-F88</f>
        <v>1396.100000000004</v>
      </c>
    </row>
  </sheetData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28C3-493C-447E-97AF-07BADA36A62B}">
  <sheetPr>
    <pageSetUpPr fitToPage="1"/>
  </sheetPr>
  <dimension ref="A1:Q90"/>
  <sheetViews>
    <sheetView topLeftCell="A43" zoomScaleNormal="100" workbookViewId="0">
      <selection activeCell="C61" sqref="C61"/>
    </sheetView>
  </sheetViews>
  <sheetFormatPr defaultColWidth="9.109375" defaultRowHeight="13.2" x14ac:dyDescent="0.25"/>
  <cols>
    <col min="1" max="1" width="39.109375" style="17" bestFit="1" customWidth="1"/>
    <col min="2" max="2" width="4.33203125" style="17" customWidth="1"/>
    <col min="3" max="3" width="11.33203125" style="17" customWidth="1"/>
    <col min="4" max="4" width="9.6640625" style="17" bestFit="1" customWidth="1"/>
    <col min="5" max="5" width="50.5546875" style="17" customWidth="1"/>
    <col min="6" max="6" width="17" style="17" bestFit="1" customWidth="1"/>
    <col min="7" max="7" width="10.88671875" style="17" customWidth="1"/>
    <col min="8" max="8" width="6" style="17" customWidth="1"/>
    <col min="9" max="10" width="9.109375" style="17"/>
    <col min="11" max="11" width="6.44140625" style="17" customWidth="1"/>
    <col min="12" max="12" width="22" style="17" bestFit="1" customWidth="1"/>
    <col min="13" max="16" width="9.109375" style="17"/>
    <col min="17" max="17" width="10.33203125" style="17" bestFit="1" customWidth="1"/>
    <col min="18" max="256" width="9.109375" style="17"/>
    <col min="257" max="257" width="39.109375" style="17" bestFit="1" customWidth="1"/>
    <col min="258" max="258" width="4.33203125" style="17" customWidth="1"/>
    <col min="259" max="259" width="11.33203125" style="17" customWidth="1"/>
    <col min="260" max="260" width="9.6640625" style="17" bestFit="1" customWidth="1"/>
    <col min="261" max="261" width="50.5546875" style="17" customWidth="1"/>
    <col min="262" max="262" width="17" style="17" bestFit="1" customWidth="1"/>
    <col min="263" max="263" width="10.88671875" style="17" customWidth="1"/>
    <col min="264" max="264" width="6" style="17" customWidth="1"/>
    <col min="265" max="266" width="9.109375" style="17"/>
    <col min="267" max="267" width="6.44140625" style="17" customWidth="1"/>
    <col min="268" max="268" width="22" style="17" bestFit="1" customWidth="1"/>
    <col min="269" max="272" width="9.109375" style="17"/>
    <col min="273" max="273" width="10.33203125" style="17" bestFit="1" customWidth="1"/>
    <col min="274" max="512" width="9.109375" style="17"/>
    <col min="513" max="513" width="39.109375" style="17" bestFit="1" customWidth="1"/>
    <col min="514" max="514" width="4.33203125" style="17" customWidth="1"/>
    <col min="515" max="515" width="11.33203125" style="17" customWidth="1"/>
    <col min="516" max="516" width="9.6640625" style="17" bestFit="1" customWidth="1"/>
    <col min="517" max="517" width="50.5546875" style="17" customWidth="1"/>
    <col min="518" max="518" width="17" style="17" bestFit="1" customWidth="1"/>
    <col min="519" max="519" width="10.88671875" style="17" customWidth="1"/>
    <col min="520" max="520" width="6" style="17" customWidth="1"/>
    <col min="521" max="522" width="9.109375" style="17"/>
    <col min="523" max="523" width="6.44140625" style="17" customWidth="1"/>
    <col min="524" max="524" width="22" style="17" bestFit="1" customWidth="1"/>
    <col min="525" max="528" width="9.109375" style="17"/>
    <col min="529" max="529" width="10.33203125" style="17" bestFit="1" customWidth="1"/>
    <col min="530" max="768" width="9.109375" style="17"/>
    <col min="769" max="769" width="39.109375" style="17" bestFit="1" customWidth="1"/>
    <col min="770" max="770" width="4.33203125" style="17" customWidth="1"/>
    <col min="771" max="771" width="11.33203125" style="17" customWidth="1"/>
    <col min="772" max="772" width="9.6640625" style="17" bestFit="1" customWidth="1"/>
    <col min="773" max="773" width="50.5546875" style="17" customWidth="1"/>
    <col min="774" max="774" width="17" style="17" bestFit="1" customWidth="1"/>
    <col min="775" max="775" width="10.88671875" style="17" customWidth="1"/>
    <col min="776" max="776" width="6" style="17" customWidth="1"/>
    <col min="777" max="778" width="9.109375" style="17"/>
    <col min="779" max="779" width="6.44140625" style="17" customWidth="1"/>
    <col min="780" max="780" width="22" style="17" bestFit="1" customWidth="1"/>
    <col min="781" max="784" width="9.109375" style="17"/>
    <col min="785" max="785" width="10.33203125" style="17" bestFit="1" customWidth="1"/>
    <col min="786" max="1024" width="9.109375" style="17"/>
    <col min="1025" max="1025" width="39.109375" style="17" bestFit="1" customWidth="1"/>
    <col min="1026" max="1026" width="4.33203125" style="17" customWidth="1"/>
    <col min="1027" max="1027" width="11.33203125" style="17" customWidth="1"/>
    <col min="1028" max="1028" width="9.6640625" style="17" bestFit="1" customWidth="1"/>
    <col min="1029" max="1029" width="50.5546875" style="17" customWidth="1"/>
    <col min="1030" max="1030" width="17" style="17" bestFit="1" customWidth="1"/>
    <col min="1031" max="1031" width="10.88671875" style="17" customWidth="1"/>
    <col min="1032" max="1032" width="6" style="17" customWidth="1"/>
    <col min="1033" max="1034" width="9.109375" style="17"/>
    <col min="1035" max="1035" width="6.44140625" style="17" customWidth="1"/>
    <col min="1036" max="1036" width="22" style="17" bestFit="1" customWidth="1"/>
    <col min="1037" max="1040" width="9.109375" style="17"/>
    <col min="1041" max="1041" width="10.33203125" style="17" bestFit="1" customWidth="1"/>
    <col min="1042" max="1280" width="9.109375" style="17"/>
    <col min="1281" max="1281" width="39.109375" style="17" bestFit="1" customWidth="1"/>
    <col min="1282" max="1282" width="4.33203125" style="17" customWidth="1"/>
    <col min="1283" max="1283" width="11.33203125" style="17" customWidth="1"/>
    <col min="1284" max="1284" width="9.6640625" style="17" bestFit="1" customWidth="1"/>
    <col min="1285" max="1285" width="50.5546875" style="17" customWidth="1"/>
    <col min="1286" max="1286" width="17" style="17" bestFit="1" customWidth="1"/>
    <col min="1287" max="1287" width="10.88671875" style="17" customWidth="1"/>
    <col min="1288" max="1288" width="6" style="17" customWidth="1"/>
    <col min="1289" max="1290" width="9.109375" style="17"/>
    <col min="1291" max="1291" width="6.44140625" style="17" customWidth="1"/>
    <col min="1292" max="1292" width="22" style="17" bestFit="1" customWidth="1"/>
    <col min="1293" max="1296" width="9.109375" style="17"/>
    <col min="1297" max="1297" width="10.33203125" style="17" bestFit="1" customWidth="1"/>
    <col min="1298" max="1536" width="9.109375" style="17"/>
    <col min="1537" max="1537" width="39.109375" style="17" bestFit="1" customWidth="1"/>
    <col min="1538" max="1538" width="4.33203125" style="17" customWidth="1"/>
    <col min="1539" max="1539" width="11.33203125" style="17" customWidth="1"/>
    <col min="1540" max="1540" width="9.6640625" style="17" bestFit="1" customWidth="1"/>
    <col min="1541" max="1541" width="50.5546875" style="17" customWidth="1"/>
    <col min="1542" max="1542" width="17" style="17" bestFit="1" customWidth="1"/>
    <col min="1543" max="1543" width="10.88671875" style="17" customWidth="1"/>
    <col min="1544" max="1544" width="6" style="17" customWidth="1"/>
    <col min="1545" max="1546" width="9.109375" style="17"/>
    <col min="1547" max="1547" width="6.44140625" style="17" customWidth="1"/>
    <col min="1548" max="1548" width="22" style="17" bestFit="1" customWidth="1"/>
    <col min="1549" max="1552" width="9.109375" style="17"/>
    <col min="1553" max="1553" width="10.33203125" style="17" bestFit="1" customWidth="1"/>
    <col min="1554" max="1792" width="9.109375" style="17"/>
    <col min="1793" max="1793" width="39.109375" style="17" bestFit="1" customWidth="1"/>
    <col min="1794" max="1794" width="4.33203125" style="17" customWidth="1"/>
    <col min="1795" max="1795" width="11.33203125" style="17" customWidth="1"/>
    <col min="1796" max="1796" width="9.6640625" style="17" bestFit="1" customWidth="1"/>
    <col min="1797" max="1797" width="50.5546875" style="17" customWidth="1"/>
    <col min="1798" max="1798" width="17" style="17" bestFit="1" customWidth="1"/>
    <col min="1799" max="1799" width="10.88671875" style="17" customWidth="1"/>
    <col min="1800" max="1800" width="6" style="17" customWidth="1"/>
    <col min="1801" max="1802" width="9.109375" style="17"/>
    <col min="1803" max="1803" width="6.44140625" style="17" customWidth="1"/>
    <col min="1804" max="1804" width="22" style="17" bestFit="1" customWidth="1"/>
    <col min="1805" max="1808" width="9.109375" style="17"/>
    <col min="1809" max="1809" width="10.33203125" style="17" bestFit="1" customWidth="1"/>
    <col min="1810" max="2048" width="9.109375" style="17"/>
    <col min="2049" max="2049" width="39.109375" style="17" bestFit="1" customWidth="1"/>
    <col min="2050" max="2050" width="4.33203125" style="17" customWidth="1"/>
    <col min="2051" max="2051" width="11.33203125" style="17" customWidth="1"/>
    <col min="2052" max="2052" width="9.6640625" style="17" bestFit="1" customWidth="1"/>
    <col min="2053" max="2053" width="50.5546875" style="17" customWidth="1"/>
    <col min="2054" max="2054" width="17" style="17" bestFit="1" customWidth="1"/>
    <col min="2055" max="2055" width="10.88671875" style="17" customWidth="1"/>
    <col min="2056" max="2056" width="6" style="17" customWidth="1"/>
    <col min="2057" max="2058" width="9.109375" style="17"/>
    <col min="2059" max="2059" width="6.44140625" style="17" customWidth="1"/>
    <col min="2060" max="2060" width="22" style="17" bestFit="1" customWidth="1"/>
    <col min="2061" max="2064" width="9.109375" style="17"/>
    <col min="2065" max="2065" width="10.33203125" style="17" bestFit="1" customWidth="1"/>
    <col min="2066" max="2304" width="9.109375" style="17"/>
    <col min="2305" max="2305" width="39.109375" style="17" bestFit="1" customWidth="1"/>
    <col min="2306" max="2306" width="4.33203125" style="17" customWidth="1"/>
    <col min="2307" max="2307" width="11.33203125" style="17" customWidth="1"/>
    <col min="2308" max="2308" width="9.6640625" style="17" bestFit="1" customWidth="1"/>
    <col min="2309" max="2309" width="50.5546875" style="17" customWidth="1"/>
    <col min="2310" max="2310" width="17" style="17" bestFit="1" customWidth="1"/>
    <col min="2311" max="2311" width="10.88671875" style="17" customWidth="1"/>
    <col min="2312" max="2312" width="6" style="17" customWidth="1"/>
    <col min="2313" max="2314" width="9.109375" style="17"/>
    <col min="2315" max="2315" width="6.44140625" style="17" customWidth="1"/>
    <col min="2316" max="2316" width="22" style="17" bestFit="1" customWidth="1"/>
    <col min="2317" max="2320" width="9.109375" style="17"/>
    <col min="2321" max="2321" width="10.33203125" style="17" bestFit="1" customWidth="1"/>
    <col min="2322" max="2560" width="9.109375" style="17"/>
    <col min="2561" max="2561" width="39.109375" style="17" bestFit="1" customWidth="1"/>
    <col min="2562" max="2562" width="4.33203125" style="17" customWidth="1"/>
    <col min="2563" max="2563" width="11.33203125" style="17" customWidth="1"/>
    <col min="2564" max="2564" width="9.6640625" style="17" bestFit="1" customWidth="1"/>
    <col min="2565" max="2565" width="50.5546875" style="17" customWidth="1"/>
    <col min="2566" max="2566" width="17" style="17" bestFit="1" customWidth="1"/>
    <col min="2567" max="2567" width="10.88671875" style="17" customWidth="1"/>
    <col min="2568" max="2568" width="6" style="17" customWidth="1"/>
    <col min="2569" max="2570" width="9.109375" style="17"/>
    <col min="2571" max="2571" width="6.44140625" style="17" customWidth="1"/>
    <col min="2572" max="2572" width="22" style="17" bestFit="1" customWidth="1"/>
    <col min="2573" max="2576" width="9.109375" style="17"/>
    <col min="2577" max="2577" width="10.33203125" style="17" bestFit="1" customWidth="1"/>
    <col min="2578" max="2816" width="9.109375" style="17"/>
    <col min="2817" max="2817" width="39.109375" style="17" bestFit="1" customWidth="1"/>
    <col min="2818" max="2818" width="4.33203125" style="17" customWidth="1"/>
    <col min="2819" max="2819" width="11.33203125" style="17" customWidth="1"/>
    <col min="2820" max="2820" width="9.6640625" style="17" bestFit="1" customWidth="1"/>
    <col min="2821" max="2821" width="50.5546875" style="17" customWidth="1"/>
    <col min="2822" max="2822" width="17" style="17" bestFit="1" customWidth="1"/>
    <col min="2823" max="2823" width="10.88671875" style="17" customWidth="1"/>
    <col min="2824" max="2824" width="6" style="17" customWidth="1"/>
    <col min="2825" max="2826" width="9.109375" style="17"/>
    <col min="2827" max="2827" width="6.44140625" style="17" customWidth="1"/>
    <col min="2828" max="2828" width="22" style="17" bestFit="1" customWidth="1"/>
    <col min="2829" max="2832" width="9.109375" style="17"/>
    <col min="2833" max="2833" width="10.33203125" style="17" bestFit="1" customWidth="1"/>
    <col min="2834" max="3072" width="9.109375" style="17"/>
    <col min="3073" max="3073" width="39.109375" style="17" bestFit="1" customWidth="1"/>
    <col min="3074" max="3074" width="4.33203125" style="17" customWidth="1"/>
    <col min="3075" max="3075" width="11.33203125" style="17" customWidth="1"/>
    <col min="3076" max="3076" width="9.6640625" style="17" bestFit="1" customWidth="1"/>
    <col min="3077" max="3077" width="50.5546875" style="17" customWidth="1"/>
    <col min="3078" max="3078" width="17" style="17" bestFit="1" customWidth="1"/>
    <col min="3079" max="3079" width="10.88671875" style="17" customWidth="1"/>
    <col min="3080" max="3080" width="6" style="17" customWidth="1"/>
    <col min="3081" max="3082" width="9.109375" style="17"/>
    <col min="3083" max="3083" width="6.44140625" style="17" customWidth="1"/>
    <col min="3084" max="3084" width="22" style="17" bestFit="1" customWidth="1"/>
    <col min="3085" max="3088" width="9.109375" style="17"/>
    <col min="3089" max="3089" width="10.33203125" style="17" bestFit="1" customWidth="1"/>
    <col min="3090" max="3328" width="9.109375" style="17"/>
    <col min="3329" max="3329" width="39.109375" style="17" bestFit="1" customWidth="1"/>
    <col min="3330" max="3330" width="4.33203125" style="17" customWidth="1"/>
    <col min="3331" max="3331" width="11.33203125" style="17" customWidth="1"/>
    <col min="3332" max="3332" width="9.6640625" style="17" bestFit="1" customWidth="1"/>
    <col min="3333" max="3333" width="50.5546875" style="17" customWidth="1"/>
    <col min="3334" max="3334" width="17" style="17" bestFit="1" customWidth="1"/>
    <col min="3335" max="3335" width="10.88671875" style="17" customWidth="1"/>
    <col min="3336" max="3336" width="6" style="17" customWidth="1"/>
    <col min="3337" max="3338" width="9.109375" style="17"/>
    <col min="3339" max="3339" width="6.44140625" style="17" customWidth="1"/>
    <col min="3340" max="3340" width="22" style="17" bestFit="1" customWidth="1"/>
    <col min="3341" max="3344" width="9.109375" style="17"/>
    <col min="3345" max="3345" width="10.33203125" style="17" bestFit="1" customWidth="1"/>
    <col min="3346" max="3584" width="9.109375" style="17"/>
    <col min="3585" max="3585" width="39.109375" style="17" bestFit="1" customWidth="1"/>
    <col min="3586" max="3586" width="4.33203125" style="17" customWidth="1"/>
    <col min="3587" max="3587" width="11.33203125" style="17" customWidth="1"/>
    <col min="3588" max="3588" width="9.6640625" style="17" bestFit="1" customWidth="1"/>
    <col min="3589" max="3589" width="50.5546875" style="17" customWidth="1"/>
    <col min="3590" max="3590" width="17" style="17" bestFit="1" customWidth="1"/>
    <col min="3591" max="3591" width="10.88671875" style="17" customWidth="1"/>
    <col min="3592" max="3592" width="6" style="17" customWidth="1"/>
    <col min="3593" max="3594" width="9.109375" style="17"/>
    <col min="3595" max="3595" width="6.44140625" style="17" customWidth="1"/>
    <col min="3596" max="3596" width="22" style="17" bestFit="1" customWidth="1"/>
    <col min="3597" max="3600" width="9.109375" style="17"/>
    <col min="3601" max="3601" width="10.33203125" style="17" bestFit="1" customWidth="1"/>
    <col min="3602" max="3840" width="9.109375" style="17"/>
    <col min="3841" max="3841" width="39.109375" style="17" bestFit="1" customWidth="1"/>
    <col min="3842" max="3842" width="4.33203125" style="17" customWidth="1"/>
    <col min="3843" max="3843" width="11.33203125" style="17" customWidth="1"/>
    <col min="3844" max="3844" width="9.6640625" style="17" bestFit="1" customWidth="1"/>
    <col min="3845" max="3845" width="50.5546875" style="17" customWidth="1"/>
    <col min="3846" max="3846" width="17" style="17" bestFit="1" customWidth="1"/>
    <col min="3847" max="3847" width="10.88671875" style="17" customWidth="1"/>
    <col min="3848" max="3848" width="6" style="17" customWidth="1"/>
    <col min="3849" max="3850" width="9.109375" style="17"/>
    <col min="3851" max="3851" width="6.44140625" style="17" customWidth="1"/>
    <col min="3852" max="3852" width="22" style="17" bestFit="1" customWidth="1"/>
    <col min="3853" max="3856" width="9.109375" style="17"/>
    <col min="3857" max="3857" width="10.33203125" style="17" bestFit="1" customWidth="1"/>
    <col min="3858" max="4096" width="9.109375" style="17"/>
    <col min="4097" max="4097" width="39.109375" style="17" bestFit="1" customWidth="1"/>
    <col min="4098" max="4098" width="4.33203125" style="17" customWidth="1"/>
    <col min="4099" max="4099" width="11.33203125" style="17" customWidth="1"/>
    <col min="4100" max="4100" width="9.6640625" style="17" bestFit="1" customWidth="1"/>
    <col min="4101" max="4101" width="50.5546875" style="17" customWidth="1"/>
    <col min="4102" max="4102" width="17" style="17" bestFit="1" customWidth="1"/>
    <col min="4103" max="4103" width="10.88671875" style="17" customWidth="1"/>
    <col min="4104" max="4104" width="6" style="17" customWidth="1"/>
    <col min="4105" max="4106" width="9.109375" style="17"/>
    <col min="4107" max="4107" width="6.44140625" style="17" customWidth="1"/>
    <col min="4108" max="4108" width="22" style="17" bestFit="1" customWidth="1"/>
    <col min="4109" max="4112" width="9.109375" style="17"/>
    <col min="4113" max="4113" width="10.33203125" style="17" bestFit="1" customWidth="1"/>
    <col min="4114" max="4352" width="9.109375" style="17"/>
    <col min="4353" max="4353" width="39.109375" style="17" bestFit="1" customWidth="1"/>
    <col min="4354" max="4354" width="4.33203125" style="17" customWidth="1"/>
    <col min="4355" max="4355" width="11.33203125" style="17" customWidth="1"/>
    <col min="4356" max="4356" width="9.6640625" style="17" bestFit="1" customWidth="1"/>
    <col min="4357" max="4357" width="50.5546875" style="17" customWidth="1"/>
    <col min="4358" max="4358" width="17" style="17" bestFit="1" customWidth="1"/>
    <col min="4359" max="4359" width="10.88671875" style="17" customWidth="1"/>
    <col min="4360" max="4360" width="6" style="17" customWidth="1"/>
    <col min="4361" max="4362" width="9.109375" style="17"/>
    <col min="4363" max="4363" width="6.44140625" style="17" customWidth="1"/>
    <col min="4364" max="4364" width="22" style="17" bestFit="1" customWidth="1"/>
    <col min="4365" max="4368" width="9.109375" style="17"/>
    <col min="4369" max="4369" width="10.33203125" style="17" bestFit="1" customWidth="1"/>
    <col min="4370" max="4608" width="9.109375" style="17"/>
    <col min="4609" max="4609" width="39.109375" style="17" bestFit="1" customWidth="1"/>
    <col min="4610" max="4610" width="4.33203125" style="17" customWidth="1"/>
    <col min="4611" max="4611" width="11.33203125" style="17" customWidth="1"/>
    <col min="4612" max="4612" width="9.6640625" style="17" bestFit="1" customWidth="1"/>
    <col min="4613" max="4613" width="50.5546875" style="17" customWidth="1"/>
    <col min="4614" max="4614" width="17" style="17" bestFit="1" customWidth="1"/>
    <col min="4615" max="4615" width="10.88671875" style="17" customWidth="1"/>
    <col min="4616" max="4616" width="6" style="17" customWidth="1"/>
    <col min="4617" max="4618" width="9.109375" style="17"/>
    <col min="4619" max="4619" width="6.44140625" style="17" customWidth="1"/>
    <col min="4620" max="4620" width="22" style="17" bestFit="1" customWidth="1"/>
    <col min="4621" max="4624" width="9.109375" style="17"/>
    <col min="4625" max="4625" width="10.33203125" style="17" bestFit="1" customWidth="1"/>
    <col min="4626" max="4864" width="9.109375" style="17"/>
    <col min="4865" max="4865" width="39.109375" style="17" bestFit="1" customWidth="1"/>
    <col min="4866" max="4866" width="4.33203125" style="17" customWidth="1"/>
    <col min="4867" max="4867" width="11.33203125" style="17" customWidth="1"/>
    <col min="4868" max="4868" width="9.6640625" style="17" bestFit="1" customWidth="1"/>
    <col min="4869" max="4869" width="50.5546875" style="17" customWidth="1"/>
    <col min="4870" max="4870" width="17" style="17" bestFit="1" customWidth="1"/>
    <col min="4871" max="4871" width="10.88671875" style="17" customWidth="1"/>
    <col min="4872" max="4872" width="6" style="17" customWidth="1"/>
    <col min="4873" max="4874" width="9.109375" style="17"/>
    <col min="4875" max="4875" width="6.44140625" style="17" customWidth="1"/>
    <col min="4876" max="4876" width="22" style="17" bestFit="1" customWidth="1"/>
    <col min="4877" max="4880" width="9.109375" style="17"/>
    <col min="4881" max="4881" width="10.33203125" style="17" bestFit="1" customWidth="1"/>
    <col min="4882" max="5120" width="9.109375" style="17"/>
    <col min="5121" max="5121" width="39.109375" style="17" bestFit="1" customWidth="1"/>
    <col min="5122" max="5122" width="4.33203125" style="17" customWidth="1"/>
    <col min="5123" max="5123" width="11.33203125" style="17" customWidth="1"/>
    <col min="5124" max="5124" width="9.6640625" style="17" bestFit="1" customWidth="1"/>
    <col min="5125" max="5125" width="50.5546875" style="17" customWidth="1"/>
    <col min="5126" max="5126" width="17" style="17" bestFit="1" customWidth="1"/>
    <col min="5127" max="5127" width="10.88671875" style="17" customWidth="1"/>
    <col min="5128" max="5128" width="6" style="17" customWidth="1"/>
    <col min="5129" max="5130" width="9.109375" style="17"/>
    <col min="5131" max="5131" width="6.44140625" style="17" customWidth="1"/>
    <col min="5132" max="5132" width="22" style="17" bestFit="1" customWidth="1"/>
    <col min="5133" max="5136" width="9.109375" style="17"/>
    <col min="5137" max="5137" width="10.33203125" style="17" bestFit="1" customWidth="1"/>
    <col min="5138" max="5376" width="9.109375" style="17"/>
    <col min="5377" max="5377" width="39.109375" style="17" bestFit="1" customWidth="1"/>
    <col min="5378" max="5378" width="4.33203125" style="17" customWidth="1"/>
    <col min="5379" max="5379" width="11.33203125" style="17" customWidth="1"/>
    <col min="5380" max="5380" width="9.6640625" style="17" bestFit="1" customWidth="1"/>
    <col min="5381" max="5381" width="50.5546875" style="17" customWidth="1"/>
    <col min="5382" max="5382" width="17" style="17" bestFit="1" customWidth="1"/>
    <col min="5383" max="5383" width="10.88671875" style="17" customWidth="1"/>
    <col min="5384" max="5384" width="6" style="17" customWidth="1"/>
    <col min="5385" max="5386" width="9.109375" style="17"/>
    <col min="5387" max="5387" width="6.44140625" style="17" customWidth="1"/>
    <col min="5388" max="5388" width="22" style="17" bestFit="1" customWidth="1"/>
    <col min="5389" max="5392" width="9.109375" style="17"/>
    <col min="5393" max="5393" width="10.33203125" style="17" bestFit="1" customWidth="1"/>
    <col min="5394" max="5632" width="9.109375" style="17"/>
    <col min="5633" max="5633" width="39.109375" style="17" bestFit="1" customWidth="1"/>
    <col min="5634" max="5634" width="4.33203125" style="17" customWidth="1"/>
    <col min="5635" max="5635" width="11.33203125" style="17" customWidth="1"/>
    <col min="5636" max="5636" width="9.6640625" style="17" bestFit="1" customWidth="1"/>
    <col min="5637" max="5637" width="50.5546875" style="17" customWidth="1"/>
    <col min="5638" max="5638" width="17" style="17" bestFit="1" customWidth="1"/>
    <col min="5639" max="5639" width="10.88671875" style="17" customWidth="1"/>
    <col min="5640" max="5640" width="6" style="17" customWidth="1"/>
    <col min="5641" max="5642" width="9.109375" style="17"/>
    <col min="5643" max="5643" width="6.44140625" style="17" customWidth="1"/>
    <col min="5644" max="5644" width="22" style="17" bestFit="1" customWidth="1"/>
    <col min="5645" max="5648" width="9.109375" style="17"/>
    <col min="5649" max="5649" width="10.33203125" style="17" bestFit="1" customWidth="1"/>
    <col min="5650" max="5888" width="9.109375" style="17"/>
    <col min="5889" max="5889" width="39.109375" style="17" bestFit="1" customWidth="1"/>
    <col min="5890" max="5890" width="4.33203125" style="17" customWidth="1"/>
    <col min="5891" max="5891" width="11.33203125" style="17" customWidth="1"/>
    <col min="5892" max="5892" width="9.6640625" style="17" bestFit="1" customWidth="1"/>
    <col min="5893" max="5893" width="50.5546875" style="17" customWidth="1"/>
    <col min="5894" max="5894" width="17" style="17" bestFit="1" customWidth="1"/>
    <col min="5895" max="5895" width="10.88671875" style="17" customWidth="1"/>
    <col min="5896" max="5896" width="6" style="17" customWidth="1"/>
    <col min="5897" max="5898" width="9.109375" style="17"/>
    <col min="5899" max="5899" width="6.44140625" style="17" customWidth="1"/>
    <col min="5900" max="5900" width="22" style="17" bestFit="1" customWidth="1"/>
    <col min="5901" max="5904" width="9.109375" style="17"/>
    <col min="5905" max="5905" width="10.33203125" style="17" bestFit="1" customWidth="1"/>
    <col min="5906" max="6144" width="9.109375" style="17"/>
    <col min="6145" max="6145" width="39.109375" style="17" bestFit="1" customWidth="1"/>
    <col min="6146" max="6146" width="4.33203125" style="17" customWidth="1"/>
    <col min="6147" max="6147" width="11.33203125" style="17" customWidth="1"/>
    <col min="6148" max="6148" width="9.6640625" style="17" bestFit="1" customWidth="1"/>
    <col min="6149" max="6149" width="50.5546875" style="17" customWidth="1"/>
    <col min="6150" max="6150" width="17" style="17" bestFit="1" customWidth="1"/>
    <col min="6151" max="6151" width="10.88671875" style="17" customWidth="1"/>
    <col min="6152" max="6152" width="6" style="17" customWidth="1"/>
    <col min="6153" max="6154" width="9.109375" style="17"/>
    <col min="6155" max="6155" width="6.44140625" style="17" customWidth="1"/>
    <col min="6156" max="6156" width="22" style="17" bestFit="1" customWidth="1"/>
    <col min="6157" max="6160" width="9.109375" style="17"/>
    <col min="6161" max="6161" width="10.33203125" style="17" bestFit="1" customWidth="1"/>
    <col min="6162" max="6400" width="9.109375" style="17"/>
    <col min="6401" max="6401" width="39.109375" style="17" bestFit="1" customWidth="1"/>
    <col min="6402" max="6402" width="4.33203125" style="17" customWidth="1"/>
    <col min="6403" max="6403" width="11.33203125" style="17" customWidth="1"/>
    <col min="6404" max="6404" width="9.6640625" style="17" bestFit="1" customWidth="1"/>
    <col min="6405" max="6405" width="50.5546875" style="17" customWidth="1"/>
    <col min="6406" max="6406" width="17" style="17" bestFit="1" customWidth="1"/>
    <col min="6407" max="6407" width="10.88671875" style="17" customWidth="1"/>
    <col min="6408" max="6408" width="6" style="17" customWidth="1"/>
    <col min="6409" max="6410" width="9.109375" style="17"/>
    <col min="6411" max="6411" width="6.44140625" style="17" customWidth="1"/>
    <col min="6412" max="6412" width="22" style="17" bestFit="1" customWidth="1"/>
    <col min="6413" max="6416" width="9.109375" style="17"/>
    <col min="6417" max="6417" width="10.33203125" style="17" bestFit="1" customWidth="1"/>
    <col min="6418" max="6656" width="9.109375" style="17"/>
    <col min="6657" max="6657" width="39.109375" style="17" bestFit="1" customWidth="1"/>
    <col min="6658" max="6658" width="4.33203125" style="17" customWidth="1"/>
    <col min="6659" max="6659" width="11.33203125" style="17" customWidth="1"/>
    <col min="6660" max="6660" width="9.6640625" style="17" bestFit="1" customWidth="1"/>
    <col min="6661" max="6661" width="50.5546875" style="17" customWidth="1"/>
    <col min="6662" max="6662" width="17" style="17" bestFit="1" customWidth="1"/>
    <col min="6663" max="6663" width="10.88671875" style="17" customWidth="1"/>
    <col min="6664" max="6664" width="6" style="17" customWidth="1"/>
    <col min="6665" max="6666" width="9.109375" style="17"/>
    <col min="6667" max="6667" width="6.44140625" style="17" customWidth="1"/>
    <col min="6668" max="6668" width="22" style="17" bestFit="1" customWidth="1"/>
    <col min="6669" max="6672" width="9.109375" style="17"/>
    <col min="6673" max="6673" width="10.33203125" style="17" bestFit="1" customWidth="1"/>
    <col min="6674" max="6912" width="9.109375" style="17"/>
    <col min="6913" max="6913" width="39.109375" style="17" bestFit="1" customWidth="1"/>
    <col min="6914" max="6914" width="4.33203125" style="17" customWidth="1"/>
    <col min="6915" max="6915" width="11.33203125" style="17" customWidth="1"/>
    <col min="6916" max="6916" width="9.6640625" style="17" bestFit="1" customWidth="1"/>
    <col min="6917" max="6917" width="50.5546875" style="17" customWidth="1"/>
    <col min="6918" max="6918" width="17" style="17" bestFit="1" customWidth="1"/>
    <col min="6919" max="6919" width="10.88671875" style="17" customWidth="1"/>
    <col min="6920" max="6920" width="6" style="17" customWidth="1"/>
    <col min="6921" max="6922" width="9.109375" style="17"/>
    <col min="6923" max="6923" width="6.44140625" style="17" customWidth="1"/>
    <col min="6924" max="6924" width="22" style="17" bestFit="1" customWidth="1"/>
    <col min="6925" max="6928" width="9.109375" style="17"/>
    <col min="6929" max="6929" width="10.33203125" style="17" bestFit="1" customWidth="1"/>
    <col min="6930" max="7168" width="9.109375" style="17"/>
    <col min="7169" max="7169" width="39.109375" style="17" bestFit="1" customWidth="1"/>
    <col min="7170" max="7170" width="4.33203125" style="17" customWidth="1"/>
    <col min="7171" max="7171" width="11.33203125" style="17" customWidth="1"/>
    <col min="7172" max="7172" width="9.6640625" style="17" bestFit="1" customWidth="1"/>
    <col min="7173" max="7173" width="50.5546875" style="17" customWidth="1"/>
    <col min="7174" max="7174" width="17" style="17" bestFit="1" customWidth="1"/>
    <col min="7175" max="7175" width="10.88671875" style="17" customWidth="1"/>
    <col min="7176" max="7176" width="6" style="17" customWidth="1"/>
    <col min="7177" max="7178" width="9.109375" style="17"/>
    <col min="7179" max="7179" width="6.44140625" style="17" customWidth="1"/>
    <col min="7180" max="7180" width="22" style="17" bestFit="1" customWidth="1"/>
    <col min="7181" max="7184" width="9.109375" style="17"/>
    <col min="7185" max="7185" width="10.33203125" style="17" bestFit="1" customWidth="1"/>
    <col min="7186" max="7424" width="9.109375" style="17"/>
    <col min="7425" max="7425" width="39.109375" style="17" bestFit="1" customWidth="1"/>
    <col min="7426" max="7426" width="4.33203125" style="17" customWidth="1"/>
    <col min="7427" max="7427" width="11.33203125" style="17" customWidth="1"/>
    <col min="7428" max="7428" width="9.6640625" style="17" bestFit="1" customWidth="1"/>
    <col min="7429" max="7429" width="50.5546875" style="17" customWidth="1"/>
    <col min="7430" max="7430" width="17" style="17" bestFit="1" customWidth="1"/>
    <col min="7431" max="7431" width="10.88671875" style="17" customWidth="1"/>
    <col min="7432" max="7432" width="6" style="17" customWidth="1"/>
    <col min="7433" max="7434" width="9.109375" style="17"/>
    <col min="7435" max="7435" width="6.44140625" style="17" customWidth="1"/>
    <col min="7436" max="7436" width="22" style="17" bestFit="1" customWidth="1"/>
    <col min="7437" max="7440" width="9.109375" style="17"/>
    <col min="7441" max="7441" width="10.33203125" style="17" bestFit="1" customWidth="1"/>
    <col min="7442" max="7680" width="9.109375" style="17"/>
    <col min="7681" max="7681" width="39.109375" style="17" bestFit="1" customWidth="1"/>
    <col min="7682" max="7682" width="4.33203125" style="17" customWidth="1"/>
    <col min="7683" max="7683" width="11.33203125" style="17" customWidth="1"/>
    <col min="7684" max="7684" width="9.6640625" style="17" bestFit="1" customWidth="1"/>
    <col min="7685" max="7685" width="50.5546875" style="17" customWidth="1"/>
    <col min="7686" max="7686" width="17" style="17" bestFit="1" customWidth="1"/>
    <col min="7687" max="7687" width="10.88671875" style="17" customWidth="1"/>
    <col min="7688" max="7688" width="6" style="17" customWidth="1"/>
    <col min="7689" max="7690" width="9.109375" style="17"/>
    <col min="7691" max="7691" width="6.44140625" style="17" customWidth="1"/>
    <col min="7692" max="7692" width="22" style="17" bestFit="1" customWidth="1"/>
    <col min="7693" max="7696" width="9.109375" style="17"/>
    <col min="7697" max="7697" width="10.33203125" style="17" bestFit="1" customWidth="1"/>
    <col min="7698" max="7936" width="9.109375" style="17"/>
    <col min="7937" max="7937" width="39.109375" style="17" bestFit="1" customWidth="1"/>
    <col min="7938" max="7938" width="4.33203125" style="17" customWidth="1"/>
    <col min="7939" max="7939" width="11.33203125" style="17" customWidth="1"/>
    <col min="7940" max="7940" width="9.6640625" style="17" bestFit="1" customWidth="1"/>
    <col min="7941" max="7941" width="50.5546875" style="17" customWidth="1"/>
    <col min="7942" max="7942" width="17" style="17" bestFit="1" customWidth="1"/>
    <col min="7943" max="7943" width="10.88671875" style="17" customWidth="1"/>
    <col min="7944" max="7944" width="6" style="17" customWidth="1"/>
    <col min="7945" max="7946" width="9.109375" style="17"/>
    <col min="7947" max="7947" width="6.44140625" style="17" customWidth="1"/>
    <col min="7948" max="7948" width="22" style="17" bestFit="1" customWidth="1"/>
    <col min="7949" max="7952" width="9.109375" style="17"/>
    <col min="7953" max="7953" width="10.33203125" style="17" bestFit="1" customWidth="1"/>
    <col min="7954" max="8192" width="9.109375" style="17"/>
    <col min="8193" max="8193" width="39.109375" style="17" bestFit="1" customWidth="1"/>
    <col min="8194" max="8194" width="4.33203125" style="17" customWidth="1"/>
    <col min="8195" max="8195" width="11.33203125" style="17" customWidth="1"/>
    <col min="8196" max="8196" width="9.6640625" style="17" bestFit="1" customWidth="1"/>
    <col min="8197" max="8197" width="50.5546875" style="17" customWidth="1"/>
    <col min="8198" max="8198" width="17" style="17" bestFit="1" customWidth="1"/>
    <col min="8199" max="8199" width="10.88671875" style="17" customWidth="1"/>
    <col min="8200" max="8200" width="6" style="17" customWidth="1"/>
    <col min="8201" max="8202" width="9.109375" style="17"/>
    <col min="8203" max="8203" width="6.44140625" style="17" customWidth="1"/>
    <col min="8204" max="8204" width="22" style="17" bestFit="1" customWidth="1"/>
    <col min="8205" max="8208" width="9.109375" style="17"/>
    <col min="8209" max="8209" width="10.33203125" style="17" bestFit="1" customWidth="1"/>
    <col min="8210" max="8448" width="9.109375" style="17"/>
    <col min="8449" max="8449" width="39.109375" style="17" bestFit="1" customWidth="1"/>
    <col min="8450" max="8450" width="4.33203125" style="17" customWidth="1"/>
    <col min="8451" max="8451" width="11.33203125" style="17" customWidth="1"/>
    <col min="8452" max="8452" width="9.6640625" style="17" bestFit="1" customWidth="1"/>
    <col min="8453" max="8453" width="50.5546875" style="17" customWidth="1"/>
    <col min="8454" max="8454" width="17" style="17" bestFit="1" customWidth="1"/>
    <col min="8455" max="8455" width="10.88671875" style="17" customWidth="1"/>
    <col min="8456" max="8456" width="6" style="17" customWidth="1"/>
    <col min="8457" max="8458" width="9.109375" style="17"/>
    <col min="8459" max="8459" width="6.44140625" style="17" customWidth="1"/>
    <col min="8460" max="8460" width="22" style="17" bestFit="1" customWidth="1"/>
    <col min="8461" max="8464" width="9.109375" style="17"/>
    <col min="8465" max="8465" width="10.33203125" style="17" bestFit="1" customWidth="1"/>
    <col min="8466" max="8704" width="9.109375" style="17"/>
    <col min="8705" max="8705" width="39.109375" style="17" bestFit="1" customWidth="1"/>
    <col min="8706" max="8706" width="4.33203125" style="17" customWidth="1"/>
    <col min="8707" max="8707" width="11.33203125" style="17" customWidth="1"/>
    <col min="8708" max="8708" width="9.6640625" style="17" bestFit="1" customWidth="1"/>
    <col min="8709" max="8709" width="50.5546875" style="17" customWidth="1"/>
    <col min="8710" max="8710" width="17" style="17" bestFit="1" customWidth="1"/>
    <col min="8711" max="8711" width="10.88671875" style="17" customWidth="1"/>
    <col min="8712" max="8712" width="6" style="17" customWidth="1"/>
    <col min="8713" max="8714" width="9.109375" style="17"/>
    <col min="8715" max="8715" width="6.44140625" style="17" customWidth="1"/>
    <col min="8716" max="8716" width="22" style="17" bestFit="1" customWidth="1"/>
    <col min="8717" max="8720" width="9.109375" style="17"/>
    <col min="8721" max="8721" width="10.33203125" style="17" bestFit="1" customWidth="1"/>
    <col min="8722" max="8960" width="9.109375" style="17"/>
    <col min="8961" max="8961" width="39.109375" style="17" bestFit="1" customWidth="1"/>
    <col min="8962" max="8962" width="4.33203125" style="17" customWidth="1"/>
    <col min="8963" max="8963" width="11.33203125" style="17" customWidth="1"/>
    <col min="8964" max="8964" width="9.6640625" style="17" bestFit="1" customWidth="1"/>
    <col min="8965" max="8965" width="50.5546875" style="17" customWidth="1"/>
    <col min="8966" max="8966" width="17" style="17" bestFit="1" customWidth="1"/>
    <col min="8967" max="8967" width="10.88671875" style="17" customWidth="1"/>
    <col min="8968" max="8968" width="6" style="17" customWidth="1"/>
    <col min="8969" max="8970" width="9.109375" style="17"/>
    <col min="8971" max="8971" width="6.44140625" style="17" customWidth="1"/>
    <col min="8972" max="8972" width="22" style="17" bestFit="1" customWidth="1"/>
    <col min="8973" max="8976" width="9.109375" style="17"/>
    <col min="8977" max="8977" width="10.33203125" style="17" bestFit="1" customWidth="1"/>
    <col min="8978" max="9216" width="9.109375" style="17"/>
    <col min="9217" max="9217" width="39.109375" style="17" bestFit="1" customWidth="1"/>
    <col min="9218" max="9218" width="4.33203125" style="17" customWidth="1"/>
    <col min="9219" max="9219" width="11.33203125" style="17" customWidth="1"/>
    <col min="9220" max="9220" width="9.6640625" style="17" bestFit="1" customWidth="1"/>
    <col min="9221" max="9221" width="50.5546875" style="17" customWidth="1"/>
    <col min="9222" max="9222" width="17" style="17" bestFit="1" customWidth="1"/>
    <col min="9223" max="9223" width="10.88671875" style="17" customWidth="1"/>
    <col min="9224" max="9224" width="6" style="17" customWidth="1"/>
    <col min="9225" max="9226" width="9.109375" style="17"/>
    <col min="9227" max="9227" width="6.44140625" style="17" customWidth="1"/>
    <col min="9228" max="9228" width="22" style="17" bestFit="1" customWidth="1"/>
    <col min="9229" max="9232" width="9.109375" style="17"/>
    <col min="9233" max="9233" width="10.33203125" style="17" bestFit="1" customWidth="1"/>
    <col min="9234" max="9472" width="9.109375" style="17"/>
    <col min="9473" max="9473" width="39.109375" style="17" bestFit="1" customWidth="1"/>
    <col min="9474" max="9474" width="4.33203125" style="17" customWidth="1"/>
    <col min="9475" max="9475" width="11.33203125" style="17" customWidth="1"/>
    <col min="9476" max="9476" width="9.6640625" style="17" bestFit="1" customWidth="1"/>
    <col min="9477" max="9477" width="50.5546875" style="17" customWidth="1"/>
    <col min="9478" max="9478" width="17" style="17" bestFit="1" customWidth="1"/>
    <col min="9479" max="9479" width="10.88671875" style="17" customWidth="1"/>
    <col min="9480" max="9480" width="6" style="17" customWidth="1"/>
    <col min="9481" max="9482" width="9.109375" style="17"/>
    <col min="9483" max="9483" width="6.44140625" style="17" customWidth="1"/>
    <col min="9484" max="9484" width="22" style="17" bestFit="1" customWidth="1"/>
    <col min="9485" max="9488" width="9.109375" style="17"/>
    <col min="9489" max="9489" width="10.33203125" style="17" bestFit="1" customWidth="1"/>
    <col min="9490" max="9728" width="9.109375" style="17"/>
    <col min="9729" max="9729" width="39.109375" style="17" bestFit="1" customWidth="1"/>
    <col min="9730" max="9730" width="4.33203125" style="17" customWidth="1"/>
    <col min="9731" max="9731" width="11.33203125" style="17" customWidth="1"/>
    <col min="9732" max="9732" width="9.6640625" style="17" bestFit="1" customWidth="1"/>
    <col min="9733" max="9733" width="50.5546875" style="17" customWidth="1"/>
    <col min="9734" max="9734" width="17" style="17" bestFit="1" customWidth="1"/>
    <col min="9735" max="9735" width="10.88671875" style="17" customWidth="1"/>
    <col min="9736" max="9736" width="6" style="17" customWidth="1"/>
    <col min="9737" max="9738" width="9.109375" style="17"/>
    <col min="9739" max="9739" width="6.44140625" style="17" customWidth="1"/>
    <col min="9740" max="9740" width="22" style="17" bestFit="1" customWidth="1"/>
    <col min="9741" max="9744" width="9.109375" style="17"/>
    <col min="9745" max="9745" width="10.33203125" style="17" bestFit="1" customWidth="1"/>
    <col min="9746" max="9984" width="9.109375" style="17"/>
    <col min="9985" max="9985" width="39.109375" style="17" bestFit="1" customWidth="1"/>
    <col min="9986" max="9986" width="4.33203125" style="17" customWidth="1"/>
    <col min="9987" max="9987" width="11.33203125" style="17" customWidth="1"/>
    <col min="9988" max="9988" width="9.6640625" style="17" bestFit="1" customWidth="1"/>
    <col min="9989" max="9989" width="50.5546875" style="17" customWidth="1"/>
    <col min="9990" max="9990" width="17" style="17" bestFit="1" customWidth="1"/>
    <col min="9991" max="9991" width="10.88671875" style="17" customWidth="1"/>
    <col min="9992" max="9992" width="6" style="17" customWidth="1"/>
    <col min="9993" max="9994" width="9.109375" style="17"/>
    <col min="9995" max="9995" width="6.44140625" style="17" customWidth="1"/>
    <col min="9996" max="9996" width="22" style="17" bestFit="1" customWidth="1"/>
    <col min="9997" max="10000" width="9.109375" style="17"/>
    <col min="10001" max="10001" width="10.33203125" style="17" bestFit="1" customWidth="1"/>
    <col min="10002" max="10240" width="9.109375" style="17"/>
    <col min="10241" max="10241" width="39.109375" style="17" bestFit="1" customWidth="1"/>
    <col min="10242" max="10242" width="4.33203125" style="17" customWidth="1"/>
    <col min="10243" max="10243" width="11.33203125" style="17" customWidth="1"/>
    <col min="10244" max="10244" width="9.6640625" style="17" bestFit="1" customWidth="1"/>
    <col min="10245" max="10245" width="50.5546875" style="17" customWidth="1"/>
    <col min="10246" max="10246" width="17" style="17" bestFit="1" customWidth="1"/>
    <col min="10247" max="10247" width="10.88671875" style="17" customWidth="1"/>
    <col min="10248" max="10248" width="6" style="17" customWidth="1"/>
    <col min="10249" max="10250" width="9.109375" style="17"/>
    <col min="10251" max="10251" width="6.44140625" style="17" customWidth="1"/>
    <col min="10252" max="10252" width="22" style="17" bestFit="1" customWidth="1"/>
    <col min="10253" max="10256" width="9.109375" style="17"/>
    <col min="10257" max="10257" width="10.33203125" style="17" bestFit="1" customWidth="1"/>
    <col min="10258" max="10496" width="9.109375" style="17"/>
    <col min="10497" max="10497" width="39.109375" style="17" bestFit="1" customWidth="1"/>
    <col min="10498" max="10498" width="4.33203125" style="17" customWidth="1"/>
    <col min="10499" max="10499" width="11.33203125" style="17" customWidth="1"/>
    <col min="10500" max="10500" width="9.6640625" style="17" bestFit="1" customWidth="1"/>
    <col min="10501" max="10501" width="50.5546875" style="17" customWidth="1"/>
    <col min="10502" max="10502" width="17" style="17" bestFit="1" customWidth="1"/>
    <col min="10503" max="10503" width="10.88671875" style="17" customWidth="1"/>
    <col min="10504" max="10504" width="6" style="17" customWidth="1"/>
    <col min="10505" max="10506" width="9.109375" style="17"/>
    <col min="10507" max="10507" width="6.44140625" style="17" customWidth="1"/>
    <col min="10508" max="10508" width="22" style="17" bestFit="1" customWidth="1"/>
    <col min="10509" max="10512" width="9.109375" style="17"/>
    <col min="10513" max="10513" width="10.33203125" style="17" bestFit="1" customWidth="1"/>
    <col min="10514" max="10752" width="9.109375" style="17"/>
    <col min="10753" max="10753" width="39.109375" style="17" bestFit="1" customWidth="1"/>
    <col min="10754" max="10754" width="4.33203125" style="17" customWidth="1"/>
    <col min="10755" max="10755" width="11.33203125" style="17" customWidth="1"/>
    <col min="10756" max="10756" width="9.6640625" style="17" bestFit="1" customWidth="1"/>
    <col min="10757" max="10757" width="50.5546875" style="17" customWidth="1"/>
    <col min="10758" max="10758" width="17" style="17" bestFit="1" customWidth="1"/>
    <col min="10759" max="10759" width="10.88671875" style="17" customWidth="1"/>
    <col min="10760" max="10760" width="6" style="17" customWidth="1"/>
    <col min="10761" max="10762" width="9.109375" style="17"/>
    <col min="10763" max="10763" width="6.44140625" style="17" customWidth="1"/>
    <col min="10764" max="10764" width="22" style="17" bestFit="1" customWidth="1"/>
    <col min="10765" max="10768" width="9.109375" style="17"/>
    <col min="10769" max="10769" width="10.33203125" style="17" bestFit="1" customWidth="1"/>
    <col min="10770" max="11008" width="9.109375" style="17"/>
    <col min="11009" max="11009" width="39.109375" style="17" bestFit="1" customWidth="1"/>
    <col min="11010" max="11010" width="4.33203125" style="17" customWidth="1"/>
    <col min="11011" max="11011" width="11.33203125" style="17" customWidth="1"/>
    <col min="11012" max="11012" width="9.6640625" style="17" bestFit="1" customWidth="1"/>
    <col min="11013" max="11013" width="50.5546875" style="17" customWidth="1"/>
    <col min="11014" max="11014" width="17" style="17" bestFit="1" customWidth="1"/>
    <col min="11015" max="11015" width="10.88671875" style="17" customWidth="1"/>
    <col min="11016" max="11016" width="6" style="17" customWidth="1"/>
    <col min="11017" max="11018" width="9.109375" style="17"/>
    <col min="11019" max="11019" width="6.44140625" style="17" customWidth="1"/>
    <col min="11020" max="11020" width="22" style="17" bestFit="1" customWidth="1"/>
    <col min="11021" max="11024" width="9.109375" style="17"/>
    <col min="11025" max="11025" width="10.33203125" style="17" bestFit="1" customWidth="1"/>
    <col min="11026" max="11264" width="9.109375" style="17"/>
    <col min="11265" max="11265" width="39.109375" style="17" bestFit="1" customWidth="1"/>
    <col min="11266" max="11266" width="4.33203125" style="17" customWidth="1"/>
    <col min="11267" max="11267" width="11.33203125" style="17" customWidth="1"/>
    <col min="11268" max="11268" width="9.6640625" style="17" bestFit="1" customWidth="1"/>
    <col min="11269" max="11269" width="50.5546875" style="17" customWidth="1"/>
    <col min="11270" max="11270" width="17" style="17" bestFit="1" customWidth="1"/>
    <col min="11271" max="11271" width="10.88671875" style="17" customWidth="1"/>
    <col min="11272" max="11272" width="6" style="17" customWidth="1"/>
    <col min="11273" max="11274" width="9.109375" style="17"/>
    <col min="11275" max="11275" width="6.44140625" style="17" customWidth="1"/>
    <col min="11276" max="11276" width="22" style="17" bestFit="1" customWidth="1"/>
    <col min="11277" max="11280" width="9.109375" style="17"/>
    <col min="11281" max="11281" width="10.33203125" style="17" bestFit="1" customWidth="1"/>
    <col min="11282" max="11520" width="9.109375" style="17"/>
    <col min="11521" max="11521" width="39.109375" style="17" bestFit="1" customWidth="1"/>
    <col min="11522" max="11522" width="4.33203125" style="17" customWidth="1"/>
    <col min="11523" max="11523" width="11.33203125" style="17" customWidth="1"/>
    <col min="11524" max="11524" width="9.6640625" style="17" bestFit="1" customWidth="1"/>
    <col min="11525" max="11525" width="50.5546875" style="17" customWidth="1"/>
    <col min="11526" max="11526" width="17" style="17" bestFit="1" customWidth="1"/>
    <col min="11527" max="11527" width="10.88671875" style="17" customWidth="1"/>
    <col min="11528" max="11528" width="6" style="17" customWidth="1"/>
    <col min="11529" max="11530" width="9.109375" style="17"/>
    <col min="11531" max="11531" width="6.44140625" style="17" customWidth="1"/>
    <col min="11532" max="11532" width="22" style="17" bestFit="1" customWidth="1"/>
    <col min="11533" max="11536" width="9.109375" style="17"/>
    <col min="11537" max="11537" width="10.33203125" style="17" bestFit="1" customWidth="1"/>
    <col min="11538" max="11776" width="9.109375" style="17"/>
    <col min="11777" max="11777" width="39.109375" style="17" bestFit="1" customWidth="1"/>
    <col min="11778" max="11778" width="4.33203125" style="17" customWidth="1"/>
    <col min="11779" max="11779" width="11.33203125" style="17" customWidth="1"/>
    <col min="11780" max="11780" width="9.6640625" style="17" bestFit="1" customWidth="1"/>
    <col min="11781" max="11781" width="50.5546875" style="17" customWidth="1"/>
    <col min="11782" max="11782" width="17" style="17" bestFit="1" customWidth="1"/>
    <col min="11783" max="11783" width="10.88671875" style="17" customWidth="1"/>
    <col min="11784" max="11784" width="6" style="17" customWidth="1"/>
    <col min="11785" max="11786" width="9.109375" style="17"/>
    <col min="11787" max="11787" width="6.44140625" style="17" customWidth="1"/>
    <col min="11788" max="11788" width="22" style="17" bestFit="1" customWidth="1"/>
    <col min="11789" max="11792" width="9.109375" style="17"/>
    <col min="11793" max="11793" width="10.33203125" style="17" bestFit="1" customWidth="1"/>
    <col min="11794" max="12032" width="9.109375" style="17"/>
    <col min="12033" max="12033" width="39.109375" style="17" bestFit="1" customWidth="1"/>
    <col min="12034" max="12034" width="4.33203125" style="17" customWidth="1"/>
    <col min="12035" max="12035" width="11.33203125" style="17" customWidth="1"/>
    <col min="12036" max="12036" width="9.6640625" style="17" bestFit="1" customWidth="1"/>
    <col min="12037" max="12037" width="50.5546875" style="17" customWidth="1"/>
    <col min="12038" max="12038" width="17" style="17" bestFit="1" customWidth="1"/>
    <col min="12039" max="12039" width="10.88671875" style="17" customWidth="1"/>
    <col min="12040" max="12040" width="6" style="17" customWidth="1"/>
    <col min="12041" max="12042" width="9.109375" style="17"/>
    <col min="12043" max="12043" width="6.44140625" style="17" customWidth="1"/>
    <col min="12044" max="12044" width="22" style="17" bestFit="1" customWidth="1"/>
    <col min="12045" max="12048" width="9.109375" style="17"/>
    <col min="12049" max="12049" width="10.33203125" style="17" bestFit="1" customWidth="1"/>
    <col min="12050" max="12288" width="9.109375" style="17"/>
    <col min="12289" max="12289" width="39.109375" style="17" bestFit="1" customWidth="1"/>
    <col min="12290" max="12290" width="4.33203125" style="17" customWidth="1"/>
    <col min="12291" max="12291" width="11.33203125" style="17" customWidth="1"/>
    <col min="12292" max="12292" width="9.6640625" style="17" bestFit="1" customWidth="1"/>
    <col min="12293" max="12293" width="50.5546875" style="17" customWidth="1"/>
    <col min="12294" max="12294" width="17" style="17" bestFit="1" customWidth="1"/>
    <col min="12295" max="12295" width="10.88671875" style="17" customWidth="1"/>
    <col min="12296" max="12296" width="6" style="17" customWidth="1"/>
    <col min="12297" max="12298" width="9.109375" style="17"/>
    <col min="12299" max="12299" width="6.44140625" style="17" customWidth="1"/>
    <col min="12300" max="12300" width="22" style="17" bestFit="1" customWidth="1"/>
    <col min="12301" max="12304" width="9.109375" style="17"/>
    <col min="12305" max="12305" width="10.33203125" style="17" bestFit="1" customWidth="1"/>
    <col min="12306" max="12544" width="9.109375" style="17"/>
    <col min="12545" max="12545" width="39.109375" style="17" bestFit="1" customWidth="1"/>
    <col min="12546" max="12546" width="4.33203125" style="17" customWidth="1"/>
    <col min="12547" max="12547" width="11.33203125" style="17" customWidth="1"/>
    <col min="12548" max="12548" width="9.6640625" style="17" bestFit="1" customWidth="1"/>
    <col min="12549" max="12549" width="50.5546875" style="17" customWidth="1"/>
    <col min="12550" max="12550" width="17" style="17" bestFit="1" customWidth="1"/>
    <col min="12551" max="12551" width="10.88671875" style="17" customWidth="1"/>
    <col min="12552" max="12552" width="6" style="17" customWidth="1"/>
    <col min="12553" max="12554" width="9.109375" style="17"/>
    <col min="12555" max="12555" width="6.44140625" style="17" customWidth="1"/>
    <col min="12556" max="12556" width="22" style="17" bestFit="1" customWidth="1"/>
    <col min="12557" max="12560" width="9.109375" style="17"/>
    <col min="12561" max="12561" width="10.33203125" style="17" bestFit="1" customWidth="1"/>
    <col min="12562" max="12800" width="9.109375" style="17"/>
    <col min="12801" max="12801" width="39.109375" style="17" bestFit="1" customWidth="1"/>
    <col min="12802" max="12802" width="4.33203125" style="17" customWidth="1"/>
    <col min="12803" max="12803" width="11.33203125" style="17" customWidth="1"/>
    <col min="12804" max="12804" width="9.6640625" style="17" bestFit="1" customWidth="1"/>
    <col min="12805" max="12805" width="50.5546875" style="17" customWidth="1"/>
    <col min="12806" max="12806" width="17" style="17" bestFit="1" customWidth="1"/>
    <col min="12807" max="12807" width="10.88671875" style="17" customWidth="1"/>
    <col min="12808" max="12808" width="6" style="17" customWidth="1"/>
    <col min="12809" max="12810" width="9.109375" style="17"/>
    <col min="12811" max="12811" width="6.44140625" style="17" customWidth="1"/>
    <col min="12812" max="12812" width="22" style="17" bestFit="1" customWidth="1"/>
    <col min="12813" max="12816" width="9.109375" style="17"/>
    <col min="12817" max="12817" width="10.33203125" style="17" bestFit="1" customWidth="1"/>
    <col min="12818" max="13056" width="9.109375" style="17"/>
    <col min="13057" max="13057" width="39.109375" style="17" bestFit="1" customWidth="1"/>
    <col min="13058" max="13058" width="4.33203125" style="17" customWidth="1"/>
    <col min="13059" max="13059" width="11.33203125" style="17" customWidth="1"/>
    <col min="13060" max="13060" width="9.6640625" style="17" bestFit="1" customWidth="1"/>
    <col min="13061" max="13061" width="50.5546875" style="17" customWidth="1"/>
    <col min="13062" max="13062" width="17" style="17" bestFit="1" customWidth="1"/>
    <col min="13063" max="13063" width="10.88671875" style="17" customWidth="1"/>
    <col min="13064" max="13064" width="6" style="17" customWidth="1"/>
    <col min="13065" max="13066" width="9.109375" style="17"/>
    <col min="13067" max="13067" width="6.44140625" style="17" customWidth="1"/>
    <col min="13068" max="13068" width="22" style="17" bestFit="1" customWidth="1"/>
    <col min="13069" max="13072" width="9.109375" style="17"/>
    <col min="13073" max="13073" width="10.33203125" style="17" bestFit="1" customWidth="1"/>
    <col min="13074" max="13312" width="9.109375" style="17"/>
    <col min="13313" max="13313" width="39.109375" style="17" bestFit="1" customWidth="1"/>
    <col min="13314" max="13314" width="4.33203125" style="17" customWidth="1"/>
    <col min="13315" max="13315" width="11.33203125" style="17" customWidth="1"/>
    <col min="13316" max="13316" width="9.6640625" style="17" bestFit="1" customWidth="1"/>
    <col min="13317" max="13317" width="50.5546875" style="17" customWidth="1"/>
    <col min="13318" max="13318" width="17" style="17" bestFit="1" customWidth="1"/>
    <col min="13319" max="13319" width="10.88671875" style="17" customWidth="1"/>
    <col min="13320" max="13320" width="6" style="17" customWidth="1"/>
    <col min="13321" max="13322" width="9.109375" style="17"/>
    <col min="13323" max="13323" width="6.44140625" style="17" customWidth="1"/>
    <col min="13324" max="13324" width="22" style="17" bestFit="1" customWidth="1"/>
    <col min="13325" max="13328" width="9.109375" style="17"/>
    <col min="13329" max="13329" width="10.33203125" style="17" bestFit="1" customWidth="1"/>
    <col min="13330" max="13568" width="9.109375" style="17"/>
    <col min="13569" max="13569" width="39.109375" style="17" bestFit="1" customWidth="1"/>
    <col min="13570" max="13570" width="4.33203125" style="17" customWidth="1"/>
    <col min="13571" max="13571" width="11.33203125" style="17" customWidth="1"/>
    <col min="13572" max="13572" width="9.6640625" style="17" bestFit="1" customWidth="1"/>
    <col min="13573" max="13573" width="50.5546875" style="17" customWidth="1"/>
    <col min="13574" max="13574" width="17" style="17" bestFit="1" customWidth="1"/>
    <col min="13575" max="13575" width="10.88671875" style="17" customWidth="1"/>
    <col min="13576" max="13576" width="6" style="17" customWidth="1"/>
    <col min="13577" max="13578" width="9.109375" style="17"/>
    <col min="13579" max="13579" width="6.44140625" style="17" customWidth="1"/>
    <col min="13580" max="13580" width="22" style="17" bestFit="1" customWidth="1"/>
    <col min="13581" max="13584" width="9.109375" style="17"/>
    <col min="13585" max="13585" width="10.33203125" style="17" bestFit="1" customWidth="1"/>
    <col min="13586" max="13824" width="9.109375" style="17"/>
    <col min="13825" max="13825" width="39.109375" style="17" bestFit="1" customWidth="1"/>
    <col min="13826" max="13826" width="4.33203125" style="17" customWidth="1"/>
    <col min="13827" max="13827" width="11.33203125" style="17" customWidth="1"/>
    <col min="13828" max="13828" width="9.6640625" style="17" bestFit="1" customWidth="1"/>
    <col min="13829" max="13829" width="50.5546875" style="17" customWidth="1"/>
    <col min="13830" max="13830" width="17" style="17" bestFit="1" customWidth="1"/>
    <col min="13831" max="13831" width="10.88671875" style="17" customWidth="1"/>
    <col min="13832" max="13832" width="6" style="17" customWidth="1"/>
    <col min="13833" max="13834" width="9.109375" style="17"/>
    <col min="13835" max="13835" width="6.44140625" style="17" customWidth="1"/>
    <col min="13836" max="13836" width="22" style="17" bestFit="1" customWidth="1"/>
    <col min="13837" max="13840" width="9.109375" style="17"/>
    <col min="13841" max="13841" width="10.33203125" style="17" bestFit="1" customWidth="1"/>
    <col min="13842" max="14080" width="9.109375" style="17"/>
    <col min="14081" max="14081" width="39.109375" style="17" bestFit="1" customWidth="1"/>
    <col min="14082" max="14082" width="4.33203125" style="17" customWidth="1"/>
    <col min="14083" max="14083" width="11.33203125" style="17" customWidth="1"/>
    <col min="14084" max="14084" width="9.6640625" style="17" bestFit="1" customWidth="1"/>
    <col min="14085" max="14085" width="50.5546875" style="17" customWidth="1"/>
    <col min="14086" max="14086" width="17" style="17" bestFit="1" customWidth="1"/>
    <col min="14087" max="14087" width="10.88671875" style="17" customWidth="1"/>
    <col min="14088" max="14088" width="6" style="17" customWidth="1"/>
    <col min="14089" max="14090" width="9.109375" style="17"/>
    <col min="14091" max="14091" width="6.44140625" style="17" customWidth="1"/>
    <col min="14092" max="14092" width="22" style="17" bestFit="1" customWidth="1"/>
    <col min="14093" max="14096" width="9.109375" style="17"/>
    <col min="14097" max="14097" width="10.33203125" style="17" bestFit="1" customWidth="1"/>
    <col min="14098" max="14336" width="9.109375" style="17"/>
    <col min="14337" max="14337" width="39.109375" style="17" bestFit="1" customWidth="1"/>
    <col min="14338" max="14338" width="4.33203125" style="17" customWidth="1"/>
    <col min="14339" max="14339" width="11.33203125" style="17" customWidth="1"/>
    <col min="14340" max="14340" width="9.6640625" style="17" bestFit="1" customWidth="1"/>
    <col min="14341" max="14341" width="50.5546875" style="17" customWidth="1"/>
    <col min="14342" max="14342" width="17" style="17" bestFit="1" customWidth="1"/>
    <col min="14343" max="14343" width="10.88671875" style="17" customWidth="1"/>
    <col min="14344" max="14344" width="6" style="17" customWidth="1"/>
    <col min="14345" max="14346" width="9.109375" style="17"/>
    <col min="14347" max="14347" width="6.44140625" style="17" customWidth="1"/>
    <col min="14348" max="14348" width="22" style="17" bestFit="1" customWidth="1"/>
    <col min="14349" max="14352" width="9.109375" style="17"/>
    <col min="14353" max="14353" width="10.33203125" style="17" bestFit="1" customWidth="1"/>
    <col min="14354" max="14592" width="9.109375" style="17"/>
    <col min="14593" max="14593" width="39.109375" style="17" bestFit="1" customWidth="1"/>
    <col min="14594" max="14594" width="4.33203125" style="17" customWidth="1"/>
    <col min="14595" max="14595" width="11.33203125" style="17" customWidth="1"/>
    <col min="14596" max="14596" width="9.6640625" style="17" bestFit="1" customWidth="1"/>
    <col min="14597" max="14597" width="50.5546875" style="17" customWidth="1"/>
    <col min="14598" max="14598" width="17" style="17" bestFit="1" customWidth="1"/>
    <col min="14599" max="14599" width="10.88671875" style="17" customWidth="1"/>
    <col min="14600" max="14600" width="6" style="17" customWidth="1"/>
    <col min="14601" max="14602" width="9.109375" style="17"/>
    <col min="14603" max="14603" width="6.44140625" style="17" customWidth="1"/>
    <col min="14604" max="14604" width="22" style="17" bestFit="1" customWidth="1"/>
    <col min="14605" max="14608" width="9.109375" style="17"/>
    <col min="14609" max="14609" width="10.33203125" style="17" bestFit="1" customWidth="1"/>
    <col min="14610" max="14848" width="9.109375" style="17"/>
    <col min="14849" max="14849" width="39.109375" style="17" bestFit="1" customWidth="1"/>
    <col min="14850" max="14850" width="4.33203125" style="17" customWidth="1"/>
    <col min="14851" max="14851" width="11.33203125" style="17" customWidth="1"/>
    <col min="14852" max="14852" width="9.6640625" style="17" bestFit="1" customWidth="1"/>
    <col min="14853" max="14853" width="50.5546875" style="17" customWidth="1"/>
    <col min="14854" max="14854" width="17" style="17" bestFit="1" customWidth="1"/>
    <col min="14855" max="14855" width="10.88671875" style="17" customWidth="1"/>
    <col min="14856" max="14856" width="6" style="17" customWidth="1"/>
    <col min="14857" max="14858" width="9.109375" style="17"/>
    <col min="14859" max="14859" width="6.44140625" style="17" customWidth="1"/>
    <col min="14860" max="14860" width="22" style="17" bestFit="1" customWidth="1"/>
    <col min="14861" max="14864" width="9.109375" style="17"/>
    <col min="14865" max="14865" width="10.33203125" style="17" bestFit="1" customWidth="1"/>
    <col min="14866" max="15104" width="9.109375" style="17"/>
    <col min="15105" max="15105" width="39.109375" style="17" bestFit="1" customWidth="1"/>
    <col min="15106" max="15106" width="4.33203125" style="17" customWidth="1"/>
    <col min="15107" max="15107" width="11.33203125" style="17" customWidth="1"/>
    <col min="15108" max="15108" width="9.6640625" style="17" bestFit="1" customWidth="1"/>
    <col min="15109" max="15109" width="50.5546875" style="17" customWidth="1"/>
    <col min="15110" max="15110" width="17" style="17" bestFit="1" customWidth="1"/>
    <col min="15111" max="15111" width="10.88671875" style="17" customWidth="1"/>
    <col min="15112" max="15112" width="6" style="17" customWidth="1"/>
    <col min="15113" max="15114" width="9.109375" style="17"/>
    <col min="15115" max="15115" width="6.44140625" style="17" customWidth="1"/>
    <col min="15116" max="15116" width="22" style="17" bestFit="1" customWidth="1"/>
    <col min="15117" max="15120" width="9.109375" style="17"/>
    <col min="15121" max="15121" width="10.33203125" style="17" bestFit="1" customWidth="1"/>
    <col min="15122" max="15360" width="9.109375" style="17"/>
    <col min="15361" max="15361" width="39.109375" style="17" bestFit="1" customWidth="1"/>
    <col min="15362" max="15362" width="4.33203125" style="17" customWidth="1"/>
    <col min="15363" max="15363" width="11.33203125" style="17" customWidth="1"/>
    <col min="15364" max="15364" width="9.6640625" style="17" bestFit="1" customWidth="1"/>
    <col min="15365" max="15365" width="50.5546875" style="17" customWidth="1"/>
    <col min="15366" max="15366" width="17" style="17" bestFit="1" customWidth="1"/>
    <col min="15367" max="15367" width="10.88671875" style="17" customWidth="1"/>
    <col min="15368" max="15368" width="6" style="17" customWidth="1"/>
    <col min="15369" max="15370" width="9.109375" style="17"/>
    <col min="15371" max="15371" width="6.44140625" style="17" customWidth="1"/>
    <col min="15372" max="15372" width="22" style="17" bestFit="1" customWidth="1"/>
    <col min="15373" max="15376" width="9.109375" style="17"/>
    <col min="15377" max="15377" width="10.33203125" style="17" bestFit="1" customWidth="1"/>
    <col min="15378" max="15616" width="9.109375" style="17"/>
    <col min="15617" max="15617" width="39.109375" style="17" bestFit="1" customWidth="1"/>
    <col min="15618" max="15618" width="4.33203125" style="17" customWidth="1"/>
    <col min="15619" max="15619" width="11.33203125" style="17" customWidth="1"/>
    <col min="15620" max="15620" width="9.6640625" style="17" bestFit="1" customWidth="1"/>
    <col min="15621" max="15621" width="50.5546875" style="17" customWidth="1"/>
    <col min="15622" max="15622" width="17" style="17" bestFit="1" customWidth="1"/>
    <col min="15623" max="15623" width="10.88671875" style="17" customWidth="1"/>
    <col min="15624" max="15624" width="6" style="17" customWidth="1"/>
    <col min="15625" max="15626" width="9.109375" style="17"/>
    <col min="15627" max="15627" width="6.44140625" style="17" customWidth="1"/>
    <col min="15628" max="15628" width="22" style="17" bestFit="1" customWidth="1"/>
    <col min="15629" max="15632" width="9.109375" style="17"/>
    <col min="15633" max="15633" width="10.33203125" style="17" bestFit="1" customWidth="1"/>
    <col min="15634" max="15872" width="9.109375" style="17"/>
    <col min="15873" max="15873" width="39.109375" style="17" bestFit="1" customWidth="1"/>
    <col min="15874" max="15874" width="4.33203125" style="17" customWidth="1"/>
    <col min="15875" max="15875" width="11.33203125" style="17" customWidth="1"/>
    <col min="15876" max="15876" width="9.6640625" style="17" bestFit="1" customWidth="1"/>
    <col min="15877" max="15877" width="50.5546875" style="17" customWidth="1"/>
    <col min="15878" max="15878" width="17" style="17" bestFit="1" customWidth="1"/>
    <col min="15879" max="15879" width="10.88671875" style="17" customWidth="1"/>
    <col min="15880" max="15880" width="6" style="17" customWidth="1"/>
    <col min="15881" max="15882" width="9.109375" style="17"/>
    <col min="15883" max="15883" width="6.44140625" style="17" customWidth="1"/>
    <col min="15884" max="15884" width="22" style="17" bestFit="1" customWidth="1"/>
    <col min="15885" max="15888" width="9.109375" style="17"/>
    <col min="15889" max="15889" width="10.33203125" style="17" bestFit="1" customWidth="1"/>
    <col min="15890" max="16128" width="9.109375" style="17"/>
    <col min="16129" max="16129" width="39.109375" style="17" bestFit="1" customWidth="1"/>
    <col min="16130" max="16130" width="4.33203125" style="17" customWidth="1"/>
    <col min="16131" max="16131" width="11.33203125" style="17" customWidth="1"/>
    <col min="16132" max="16132" width="9.6640625" style="17" bestFit="1" customWidth="1"/>
    <col min="16133" max="16133" width="50.5546875" style="17" customWidth="1"/>
    <col min="16134" max="16134" width="17" style="17" bestFit="1" customWidth="1"/>
    <col min="16135" max="16135" width="10.88671875" style="17" customWidth="1"/>
    <col min="16136" max="16136" width="6" style="17" customWidth="1"/>
    <col min="16137" max="16138" width="9.109375" style="17"/>
    <col min="16139" max="16139" width="6.44140625" style="17" customWidth="1"/>
    <col min="16140" max="16140" width="22" style="17" bestFit="1" customWidth="1"/>
    <col min="16141" max="16144" width="9.109375" style="17"/>
    <col min="16145" max="16145" width="10.33203125" style="17" bestFit="1" customWidth="1"/>
    <col min="16146" max="16384" width="9.109375" style="17"/>
  </cols>
  <sheetData>
    <row r="1" spans="1:17" x14ac:dyDescent="0.25">
      <c r="A1" s="16" t="s">
        <v>0</v>
      </c>
    </row>
    <row r="2" spans="1:17" x14ac:dyDescent="0.25">
      <c r="A2" s="16" t="s">
        <v>30</v>
      </c>
    </row>
    <row r="4" spans="1:17" ht="13.8" thickBot="1" x14ac:dyDescent="0.3">
      <c r="A4" s="16" t="s">
        <v>31</v>
      </c>
    </row>
    <row r="5" spans="1:17" ht="13.8" thickBot="1" x14ac:dyDescent="0.3">
      <c r="I5" s="18"/>
      <c r="K5" s="19" t="s">
        <v>32</v>
      </c>
      <c r="L5" s="20"/>
      <c r="M5" s="21"/>
      <c r="Q5" s="22"/>
    </row>
    <row r="6" spans="1:17" ht="13.8" thickBot="1" x14ac:dyDescent="0.3">
      <c r="A6" s="17" t="s">
        <v>33</v>
      </c>
      <c r="C6" s="17">
        <f>SUM('[4]overall detail'!AP1273:AP1623)+SUM('[4]overall detail'!AQ1273:AQ1623)</f>
        <v>5774.52</v>
      </c>
      <c r="E6" s="17" t="s">
        <v>34</v>
      </c>
      <c r="H6" s="23" t="s">
        <v>5</v>
      </c>
      <c r="I6" s="18"/>
      <c r="K6" s="24" t="s">
        <v>12</v>
      </c>
      <c r="L6" s="25">
        <v>5496.92</v>
      </c>
      <c r="M6" s="21"/>
      <c r="Q6" s="22"/>
    </row>
    <row r="7" spans="1:17" x14ac:dyDescent="0.25">
      <c r="A7" s="17" t="s">
        <v>35</v>
      </c>
      <c r="C7" s="17">
        <f>SUM('[4]overall detail'!AV1273:AV1623)</f>
        <v>5516.92</v>
      </c>
      <c r="I7" s="18"/>
      <c r="K7" s="26" t="s">
        <v>36</v>
      </c>
      <c r="L7" s="27">
        <v>7261.88</v>
      </c>
      <c r="M7" s="21"/>
    </row>
    <row r="8" spans="1:17" x14ac:dyDescent="0.25">
      <c r="A8" s="23" t="s">
        <v>37</v>
      </c>
      <c r="C8" s="17">
        <f>SUM('[4]overall detail'!AW1273:AW1623)</f>
        <v>50</v>
      </c>
      <c r="E8" s="17" t="s">
        <v>38</v>
      </c>
      <c r="G8" s="28">
        <f>L7+30-C45-'[4]overall detail'!AD1171</f>
        <v>1204.9900000000007</v>
      </c>
      <c r="H8" s="21">
        <v>2</v>
      </c>
      <c r="I8" s="18"/>
      <c r="J8" s="18"/>
      <c r="K8" s="26" t="s">
        <v>39</v>
      </c>
      <c r="L8" s="29">
        <f>SUM(L6:L7)</f>
        <v>12758.8</v>
      </c>
      <c r="M8" s="21"/>
    </row>
    <row r="9" spans="1:17" ht="13.8" thickBot="1" x14ac:dyDescent="0.3">
      <c r="A9" s="17" t="s">
        <v>40</v>
      </c>
      <c r="C9" s="17">
        <f>SUM('[4]overall detail'!AX1273:AX1623)</f>
        <v>0</v>
      </c>
      <c r="E9" s="17" t="s">
        <v>41</v>
      </c>
      <c r="I9" s="18"/>
      <c r="J9" s="18"/>
      <c r="K9" s="30"/>
      <c r="L9" s="31"/>
      <c r="M9" s="21"/>
    </row>
    <row r="10" spans="1:17" ht="13.8" thickBot="1" x14ac:dyDescent="0.3">
      <c r="A10" s="17" t="s">
        <v>42</v>
      </c>
      <c r="C10" s="17">
        <f>SUM('[4]overall detail'!AY1273:AY1623)</f>
        <v>1666</v>
      </c>
      <c r="E10" s="17" t="s">
        <v>43</v>
      </c>
      <c r="G10" s="17">
        <f>C7+C8-C34-C35-C36-C37-C38-C39</f>
        <v>1316.5</v>
      </c>
      <c r="H10" s="21">
        <v>2</v>
      </c>
      <c r="I10" s="18"/>
      <c r="J10" s="18"/>
      <c r="K10" s="32" t="s">
        <v>44</v>
      </c>
      <c r="L10" s="33"/>
      <c r="M10" s="21"/>
    </row>
    <row r="11" spans="1:17" x14ac:dyDescent="0.25">
      <c r="A11" s="17" t="s">
        <v>45</v>
      </c>
      <c r="C11" s="17">
        <f>SUM('[4]overall detail'!AZ1273:AZ1623)</f>
        <v>1030.25</v>
      </c>
      <c r="I11" s="18"/>
      <c r="J11" s="18"/>
      <c r="K11" s="34" t="s">
        <v>46</v>
      </c>
      <c r="L11" s="25">
        <v>12758.8</v>
      </c>
      <c r="M11" s="21"/>
    </row>
    <row r="12" spans="1:17" x14ac:dyDescent="0.25">
      <c r="A12" s="17" t="s">
        <v>114</v>
      </c>
      <c r="C12" s="17">
        <f>SUM('[4]overall detail'!BC74:BC1623)</f>
        <v>700</v>
      </c>
      <c r="E12" s="17" t="s">
        <v>48</v>
      </c>
      <c r="G12" s="17">
        <f>C9-C40</f>
        <v>-16</v>
      </c>
      <c r="H12" s="21">
        <v>2</v>
      </c>
      <c r="I12" s="18"/>
      <c r="K12" s="26" t="s">
        <v>49</v>
      </c>
      <c r="L12" s="29">
        <v>50</v>
      </c>
    </row>
    <row r="13" spans="1:17" x14ac:dyDescent="0.25">
      <c r="A13" s="17" t="s">
        <v>47</v>
      </c>
      <c r="C13" s="17">
        <f>SUM('[4]overall detail'!BA1273:BA1623)</f>
        <v>6253.16</v>
      </c>
      <c r="I13" s="18"/>
      <c r="K13" s="26" t="s">
        <v>39</v>
      </c>
      <c r="L13" s="35">
        <f>SUM(L11:L12)</f>
        <v>12808.8</v>
      </c>
    </row>
    <row r="14" spans="1:17" ht="13.8" thickBot="1" x14ac:dyDescent="0.3">
      <c r="A14" s="17" t="s">
        <v>50</v>
      </c>
      <c r="C14" s="17">
        <f>SUM('[4]overall detail'!BB1273:BB1623)</f>
        <v>0</v>
      </c>
      <c r="E14" s="17" t="s">
        <v>52</v>
      </c>
      <c r="G14" s="17">
        <f>C10+C11-C41-C42-C43-C44</f>
        <v>1523.62</v>
      </c>
      <c r="H14" s="21">
        <v>2</v>
      </c>
      <c r="I14" s="18"/>
      <c r="K14" s="30"/>
      <c r="L14" s="36"/>
    </row>
    <row r="15" spans="1:17" ht="13.8" thickBot="1" x14ac:dyDescent="0.3">
      <c r="A15" s="17" t="s">
        <v>51</v>
      </c>
      <c r="C15" s="17">
        <f>SUM('[4]overall detail'!AR1273:AR1623)</f>
        <v>644</v>
      </c>
      <c r="I15" s="18"/>
      <c r="K15" s="32" t="s">
        <v>54</v>
      </c>
      <c r="L15" s="37">
        <f>L8-L13</f>
        <v>-50</v>
      </c>
      <c r="M15" s="21"/>
    </row>
    <row r="16" spans="1:17" x14ac:dyDescent="0.25">
      <c r="A16" s="17" t="s">
        <v>53</v>
      </c>
      <c r="C16" s="17">
        <f>SUM('[4]overall detail'!AS1273:AS1623)</f>
        <v>0</v>
      </c>
      <c r="E16" s="17" t="s">
        <v>33</v>
      </c>
      <c r="F16" s="17">
        <f>C6+C62</f>
        <v>6934.2000000000007</v>
      </c>
      <c r="H16" s="21">
        <v>8</v>
      </c>
      <c r="I16" s="18"/>
      <c r="L16" s="23"/>
      <c r="M16" s="21"/>
    </row>
    <row r="17" spans="1:13" x14ac:dyDescent="0.25">
      <c r="A17" s="17" t="s">
        <v>55</v>
      </c>
      <c r="C17" s="17">
        <f>SUM('[4]overall detail'!AT1273:AT1623)</f>
        <v>0</v>
      </c>
      <c r="E17" s="17" t="s">
        <v>57</v>
      </c>
      <c r="F17" s="17">
        <f>-C29</f>
        <v>-1235</v>
      </c>
      <c r="H17" s="21">
        <v>1</v>
      </c>
      <c r="I17" s="18"/>
      <c r="L17" s="23"/>
      <c r="M17" s="21"/>
    </row>
    <row r="18" spans="1:13" x14ac:dyDescent="0.25">
      <c r="A18" s="23" t="s">
        <v>56</v>
      </c>
      <c r="C18" s="17">
        <f>SUM('[4]overall detail'!AU1273:AU1623)</f>
        <v>0</v>
      </c>
      <c r="G18" s="17">
        <f>SUM(F16:F17)</f>
        <v>5699.2000000000007</v>
      </c>
      <c r="I18" s="18"/>
      <c r="L18" s="23"/>
      <c r="M18" s="21"/>
    </row>
    <row r="19" spans="1:13" x14ac:dyDescent="0.25">
      <c r="A19" s="17" t="s">
        <v>60</v>
      </c>
      <c r="C19" s="17">
        <f>SUM('[4]overall detail'!BD1273:BD1623)+SUM('[4]overall detail'!BF1273:BF1623)+SUM('[4]overall detail'!BE1273:BE1623)</f>
        <v>3003.5</v>
      </c>
      <c r="I19" s="18"/>
      <c r="L19" s="23"/>
      <c r="M19" s="21"/>
    </row>
    <row r="20" spans="1:13" x14ac:dyDescent="0.25">
      <c r="A20" s="17" t="s">
        <v>58</v>
      </c>
      <c r="C20" s="17">
        <f>SUM('[4]overall detail'!BG1273:BG1623)</f>
        <v>5830.5300000000007</v>
      </c>
      <c r="E20" s="17" t="s">
        <v>60</v>
      </c>
      <c r="F20" s="17">
        <f>C19-C48</f>
        <v>503.07999999999993</v>
      </c>
      <c r="I20" s="18"/>
      <c r="L20" s="23"/>
      <c r="M20" s="21"/>
    </row>
    <row r="21" spans="1:13" x14ac:dyDescent="0.25">
      <c r="A21" s="17" t="s">
        <v>59</v>
      </c>
      <c r="C21" s="17">
        <f>SUM('[4]overall detail'!BH1273:BH1623)</f>
        <v>26.65</v>
      </c>
      <c r="E21" s="17" t="s">
        <v>58</v>
      </c>
      <c r="F21" s="17">
        <f>C20-C49</f>
        <v>-972.57999999999902</v>
      </c>
      <c r="H21" s="38" t="s">
        <v>62</v>
      </c>
      <c r="I21" s="18"/>
      <c r="L21" s="23"/>
    </row>
    <row r="22" spans="1:13" x14ac:dyDescent="0.25">
      <c r="A22" s="23" t="s">
        <v>61</v>
      </c>
      <c r="C22" s="17">
        <f>SUM('[4]overall detail'!BJ1273:BJ1623)</f>
        <v>0</v>
      </c>
      <c r="G22" s="17">
        <f>SUM(F20:F21)</f>
        <v>-469.49999999999909</v>
      </c>
      <c r="I22" s="18"/>
      <c r="L22" s="23"/>
      <c r="M22" s="23"/>
    </row>
    <row r="23" spans="1:13" x14ac:dyDescent="0.25">
      <c r="A23" s="17" t="s">
        <v>63</v>
      </c>
      <c r="C23" s="17">
        <f>SUM('[4]overall detail'!BK1273:BK1623)+SUM('[4]overall detail'!BI1273:BI1623)</f>
        <v>16220</v>
      </c>
      <c r="I23" s="18"/>
      <c r="L23" s="23"/>
      <c r="M23" s="23"/>
    </row>
    <row r="24" spans="1:13" x14ac:dyDescent="0.25">
      <c r="E24" s="17" t="s">
        <v>65</v>
      </c>
      <c r="G24" s="17">
        <f>-C52</f>
        <v>-3171.72</v>
      </c>
      <c r="H24" s="41">
        <v>6</v>
      </c>
      <c r="L24" s="23"/>
    </row>
    <row r="25" spans="1:13" x14ac:dyDescent="0.25">
      <c r="A25" s="39" t="s">
        <v>64</v>
      </c>
      <c r="B25" s="40"/>
      <c r="C25" s="17">
        <f>SUM(C5:C23)</f>
        <v>46715.53</v>
      </c>
      <c r="L25" s="23"/>
    </row>
    <row r="26" spans="1:13" x14ac:dyDescent="0.25">
      <c r="E26" s="17" t="s">
        <v>66</v>
      </c>
      <c r="G26" s="17">
        <f>C22</f>
        <v>0</v>
      </c>
      <c r="H26" s="21"/>
      <c r="I26" s="18"/>
      <c r="L26" s="23"/>
    </row>
    <row r="27" spans="1:13" x14ac:dyDescent="0.25">
      <c r="I27" s="18"/>
    </row>
    <row r="28" spans="1:13" x14ac:dyDescent="0.25">
      <c r="A28" s="16" t="s">
        <v>67</v>
      </c>
      <c r="E28" s="17" t="s">
        <v>69</v>
      </c>
      <c r="G28" s="17">
        <f>-C47</f>
        <v>-694.5</v>
      </c>
      <c r="H28" s="21"/>
      <c r="I28" s="18"/>
    </row>
    <row r="29" spans="1:13" x14ac:dyDescent="0.25">
      <c r="A29" s="17" t="s">
        <v>68</v>
      </c>
      <c r="C29" s="17">
        <f>SUM('[4]overall detail'!N1273:N1623)</f>
        <v>1235</v>
      </c>
      <c r="I29" s="18"/>
    </row>
    <row r="30" spans="1:13" x14ac:dyDescent="0.25">
      <c r="A30" s="17" t="s">
        <v>70</v>
      </c>
      <c r="C30" s="17">
        <f>SUM('[4]overall detail'!O1273:O1623)</f>
        <v>1329.8</v>
      </c>
      <c r="E30" s="17" t="s">
        <v>72</v>
      </c>
      <c r="G30" s="17">
        <f>C15+C16+C17+C18-C30-C31-C32-C33</f>
        <v>-685.8</v>
      </c>
      <c r="H30" s="21"/>
      <c r="I30" s="18"/>
    </row>
    <row r="31" spans="1:13" x14ac:dyDescent="0.25">
      <c r="A31" s="17" t="s">
        <v>71</v>
      </c>
      <c r="C31" s="17">
        <f>SUM('[4]overall detail'!P1273:P1623)</f>
        <v>0</v>
      </c>
      <c r="I31" s="18"/>
    </row>
    <row r="32" spans="1:13" x14ac:dyDescent="0.25">
      <c r="A32" s="17" t="s">
        <v>73</v>
      </c>
      <c r="C32" s="17">
        <f>SUM('[4]overall detail'!Q1273:Q1623)</f>
        <v>0</v>
      </c>
      <c r="E32" s="17" t="s">
        <v>75</v>
      </c>
      <c r="G32" s="17">
        <f>-C53+C22</f>
        <v>-1200</v>
      </c>
      <c r="H32" s="21">
        <v>2</v>
      </c>
      <c r="I32" s="18"/>
    </row>
    <row r="33" spans="1:11" x14ac:dyDescent="0.25">
      <c r="A33" s="23" t="s">
        <v>74</v>
      </c>
      <c r="C33" s="17">
        <f>SUM('[4]overall detail'!R1273:R1623)</f>
        <v>0</v>
      </c>
    </row>
    <row r="34" spans="1:11" x14ac:dyDescent="0.25">
      <c r="A34" s="17" t="s">
        <v>76</v>
      </c>
      <c r="C34" s="17">
        <f>SUM('[4]overall detail'!S1273:S1623)</f>
        <v>445</v>
      </c>
      <c r="E34" s="17" t="s">
        <v>78</v>
      </c>
      <c r="G34" s="17">
        <f>C21+C23-C50-C51-C46</f>
        <v>-983.30999999999949</v>
      </c>
      <c r="H34" s="42">
        <v>7</v>
      </c>
      <c r="I34" s="16"/>
    </row>
    <row r="35" spans="1:11" x14ac:dyDescent="0.25">
      <c r="A35" s="17" t="s">
        <v>77</v>
      </c>
      <c r="C35" s="17">
        <f>SUM('[4]overall detail'!T1273:T1623)</f>
        <v>60</v>
      </c>
    </row>
    <row r="36" spans="1:11" x14ac:dyDescent="0.25">
      <c r="A36" s="17" t="s">
        <v>79</v>
      </c>
      <c r="C36" s="17">
        <f>SUM('[4]overall detail'!U1273:U1623)</f>
        <v>0</v>
      </c>
      <c r="E36" s="16"/>
      <c r="F36" s="16"/>
      <c r="G36" s="16"/>
    </row>
    <row r="37" spans="1:11" x14ac:dyDescent="0.25">
      <c r="A37" s="17" t="s">
        <v>80</v>
      </c>
      <c r="C37" s="17">
        <f>SUM('[4]overall detail'!V1273:V1623)</f>
        <v>15.18</v>
      </c>
      <c r="H37" s="16"/>
      <c r="I37" s="16"/>
    </row>
    <row r="38" spans="1:11" x14ac:dyDescent="0.25">
      <c r="A38" s="17" t="s">
        <v>81</v>
      </c>
      <c r="C38" s="17">
        <f>SUM('[4]overall detail'!W1273:W1623)</f>
        <v>356</v>
      </c>
      <c r="H38" s="16"/>
    </row>
    <row r="39" spans="1:11" x14ac:dyDescent="0.25">
      <c r="A39" s="17" t="s">
        <v>82</v>
      </c>
      <c r="C39" s="17">
        <f>SUM('[4]overall detail'!X1273:X1623)</f>
        <v>3374.24</v>
      </c>
    </row>
    <row r="40" spans="1:11" x14ac:dyDescent="0.25">
      <c r="A40" s="17" t="s">
        <v>40</v>
      </c>
      <c r="C40" s="17">
        <f>SUM('[4]overall detail'!Y1273:Y1623)</f>
        <v>16</v>
      </c>
    </row>
    <row r="41" spans="1:11" x14ac:dyDescent="0.25">
      <c r="A41" s="23" t="s">
        <v>83</v>
      </c>
      <c r="C41" s="17">
        <f>SUM('[4]overall detail'!Z1273:Z1623)</f>
        <v>0</v>
      </c>
    </row>
    <row r="42" spans="1:11" x14ac:dyDescent="0.25">
      <c r="A42" s="17" t="s">
        <v>84</v>
      </c>
      <c r="C42" s="17">
        <f>SUM('[4]overall detail'!AA1273:AA1623)</f>
        <v>156</v>
      </c>
    </row>
    <row r="43" spans="1:11" x14ac:dyDescent="0.25">
      <c r="A43" s="17" t="s">
        <v>85</v>
      </c>
      <c r="C43" s="17">
        <f>SUM('[4]overall detail'!AB1273:AB1623)</f>
        <v>168.78</v>
      </c>
    </row>
    <row r="44" spans="1:11" x14ac:dyDescent="0.25">
      <c r="A44" s="17" t="s">
        <v>86</v>
      </c>
      <c r="C44" s="17">
        <f>SUM('[4]overall detail'!AC1273:AC1623)</f>
        <v>847.85</v>
      </c>
    </row>
    <row r="45" spans="1:11" x14ac:dyDescent="0.25">
      <c r="A45" s="17" t="s">
        <v>87</v>
      </c>
      <c r="C45" s="17">
        <f>SUM('[4]overall detail'!AD1273:AD1623)</f>
        <v>5736.8899999999994</v>
      </c>
      <c r="E45" s="23" t="s">
        <v>89</v>
      </c>
      <c r="G45" s="17">
        <f>[4]Stock!E43</f>
        <v>2607.9666666666667</v>
      </c>
    </row>
    <row r="46" spans="1:11" x14ac:dyDescent="0.25">
      <c r="A46" s="17" t="s">
        <v>88</v>
      </c>
      <c r="C46" s="17">
        <f>SUM('[4]overall detail'!AE1273:AE1623)</f>
        <v>0</v>
      </c>
    </row>
    <row r="47" spans="1:11" x14ac:dyDescent="0.25">
      <c r="A47" s="17" t="s">
        <v>69</v>
      </c>
      <c r="C47" s="17">
        <f>SUM('[4]overall detail'!AF1273:AF1623)</f>
        <v>694.5</v>
      </c>
      <c r="E47" s="16"/>
      <c r="F47" s="16"/>
      <c r="G47" s="16"/>
    </row>
    <row r="48" spans="1:11" x14ac:dyDescent="0.25">
      <c r="A48" s="23" t="s">
        <v>60</v>
      </c>
      <c r="C48" s="17">
        <f>SUM('[4]overall detail'!AG1273:AG1623)</f>
        <v>2500.42</v>
      </c>
      <c r="D48" s="43"/>
      <c r="E48" s="44"/>
      <c r="F48" s="44"/>
      <c r="G48" s="44"/>
      <c r="H48" s="44"/>
      <c r="I48" s="44"/>
      <c r="J48" s="44"/>
      <c r="K48" s="44"/>
    </row>
    <row r="49" spans="1:11" x14ac:dyDescent="0.25">
      <c r="A49" s="17" t="s">
        <v>58</v>
      </c>
      <c r="C49" s="17">
        <f>SUM('[4]overall detail'!AJ1273:AJ1623)</f>
        <v>6803.11</v>
      </c>
      <c r="D49" s="45"/>
      <c r="E49" s="46"/>
      <c r="F49" s="44"/>
      <c r="G49" s="44"/>
      <c r="H49" s="44"/>
      <c r="I49" s="44"/>
      <c r="J49" s="44"/>
      <c r="K49" s="44"/>
    </row>
    <row r="50" spans="1:11" x14ac:dyDescent="0.25">
      <c r="A50" s="17" t="s">
        <v>90</v>
      </c>
      <c r="C50" s="17">
        <f>SUM('[4]overall detail'!AK1273:AK1623)</f>
        <v>17229.96</v>
      </c>
      <c r="D50" s="45"/>
      <c r="E50" s="46"/>
      <c r="F50" s="44"/>
      <c r="G50" s="44"/>
      <c r="H50" s="44"/>
      <c r="I50" s="44"/>
      <c r="J50" s="44"/>
      <c r="K50" s="44"/>
    </row>
    <row r="51" spans="1:11" x14ac:dyDescent="0.25">
      <c r="A51" s="17" t="s">
        <v>91</v>
      </c>
      <c r="C51" s="17">
        <f>SUM('[4]overall detail'!AI1273:AI1623)</f>
        <v>0</v>
      </c>
      <c r="D51" s="45"/>
      <c r="E51" s="46"/>
      <c r="F51" s="44"/>
      <c r="G51" s="44"/>
      <c r="H51" s="44"/>
      <c r="I51" s="44"/>
      <c r="J51" s="44"/>
      <c r="K51" s="44"/>
    </row>
    <row r="52" spans="1:11" x14ac:dyDescent="0.25">
      <c r="A52" s="17" t="s">
        <v>65</v>
      </c>
      <c r="C52" s="17">
        <f>SUM('[4]overall detail'!AL1273:AL1623)</f>
        <v>3171.72</v>
      </c>
      <c r="D52" s="45"/>
      <c r="E52" s="46"/>
      <c r="F52" s="44"/>
      <c r="G52" s="44"/>
      <c r="H52" s="44"/>
      <c r="I52" s="44"/>
      <c r="J52" s="44"/>
      <c r="K52" s="44"/>
    </row>
    <row r="53" spans="1:11" x14ac:dyDescent="0.25">
      <c r="A53" s="17" t="s">
        <v>92</v>
      </c>
      <c r="C53" s="17">
        <f>SUM('[4]overall detail'!AM1273:AM1623)</f>
        <v>1200</v>
      </c>
      <c r="D53" s="45"/>
      <c r="E53" s="46"/>
      <c r="F53" s="44"/>
      <c r="G53" s="44"/>
      <c r="H53" s="44"/>
      <c r="I53" s="44"/>
      <c r="J53" s="44"/>
      <c r="K53" s="44"/>
    </row>
    <row r="54" spans="1:11" x14ac:dyDescent="0.25">
      <c r="D54" s="45"/>
      <c r="E54" s="46"/>
      <c r="F54" s="44"/>
      <c r="G54" s="44"/>
      <c r="H54" s="44"/>
      <c r="I54" s="44"/>
      <c r="J54" s="44"/>
      <c r="K54" s="44"/>
    </row>
    <row r="55" spans="1:11" x14ac:dyDescent="0.25">
      <c r="A55" s="17" t="s">
        <v>93</v>
      </c>
      <c r="C55" s="17">
        <f>SUM(C29:C54)</f>
        <v>45340.45</v>
      </c>
      <c r="D55" s="47"/>
      <c r="E55" s="46"/>
      <c r="F55" s="44"/>
      <c r="G55" s="44"/>
      <c r="H55" s="44"/>
      <c r="I55" s="44"/>
      <c r="J55" s="44"/>
      <c r="K55" s="44"/>
    </row>
    <row r="56" spans="1:11" x14ac:dyDescent="0.25">
      <c r="D56" s="45"/>
      <c r="E56" s="46"/>
      <c r="F56" s="44"/>
      <c r="G56" s="44"/>
      <c r="H56" s="44"/>
      <c r="I56" s="44"/>
      <c r="J56" s="44"/>
      <c r="K56" s="44"/>
    </row>
    <row r="57" spans="1:11" x14ac:dyDescent="0.25">
      <c r="A57" s="16" t="s">
        <v>94</v>
      </c>
      <c r="C57" s="17">
        <f>C25-C55</f>
        <v>1375.0800000000017</v>
      </c>
      <c r="D57" s="45"/>
      <c r="E57" s="46"/>
      <c r="F57" s="44"/>
      <c r="G57" s="44"/>
      <c r="H57" s="44"/>
      <c r="I57" s="44"/>
      <c r="J57" s="44"/>
      <c r="K57" s="44"/>
    </row>
    <row r="58" spans="1:11" x14ac:dyDescent="0.25">
      <c r="A58" s="16"/>
      <c r="D58" s="45"/>
      <c r="E58" s="46"/>
      <c r="F58" s="44"/>
      <c r="G58" s="44"/>
      <c r="H58" s="44"/>
      <c r="I58" s="44"/>
      <c r="J58" s="44"/>
      <c r="K58" s="44"/>
    </row>
    <row r="59" spans="1:11" x14ac:dyDescent="0.25">
      <c r="A59" s="23" t="s">
        <v>95</v>
      </c>
      <c r="C59" s="17">
        <v>1610</v>
      </c>
      <c r="D59" s="48"/>
      <c r="E59" s="46"/>
      <c r="F59" s="44"/>
      <c r="G59" s="44"/>
      <c r="H59" s="44"/>
      <c r="I59" s="44"/>
      <c r="J59" s="44"/>
      <c r="K59" s="44"/>
    </row>
    <row r="60" spans="1:11" x14ac:dyDescent="0.25">
      <c r="A60" s="23" t="s">
        <v>96</v>
      </c>
      <c r="C60" s="17">
        <f>SUM('[4]overall detail'!BE1272:BE1600)</f>
        <v>2080.5</v>
      </c>
      <c r="D60" s="45"/>
      <c r="E60" s="46"/>
      <c r="F60" s="44"/>
      <c r="G60" s="44"/>
      <c r="H60" s="44"/>
      <c r="I60" s="44"/>
      <c r="J60" s="44"/>
      <c r="K60" s="44"/>
    </row>
    <row r="61" spans="1:11" x14ac:dyDescent="0.25">
      <c r="A61" s="17" t="s">
        <v>97</v>
      </c>
      <c r="C61" s="17">
        <f>[4]accountsye311224!$C$61</f>
        <v>2198.3999999999996</v>
      </c>
      <c r="D61" s="45"/>
      <c r="E61" s="46"/>
      <c r="F61" s="44"/>
      <c r="G61" s="44"/>
      <c r="H61" s="44"/>
      <c r="I61" s="44"/>
      <c r="J61" s="44"/>
      <c r="K61" s="44"/>
    </row>
    <row r="62" spans="1:11" x14ac:dyDescent="0.25">
      <c r="A62" s="23" t="s">
        <v>98</v>
      </c>
      <c r="C62" s="17">
        <f>SUM('[4]overall detail'!BA1500:BA1623)</f>
        <v>1159.6799999999998</v>
      </c>
      <c r="D62" s="45"/>
      <c r="E62" s="46"/>
      <c r="F62" s="44"/>
      <c r="G62" s="44"/>
      <c r="H62" s="44"/>
      <c r="I62" s="44"/>
      <c r="J62" s="44"/>
      <c r="K62" s="44"/>
    </row>
    <row r="63" spans="1:11" x14ac:dyDescent="0.25">
      <c r="A63" s="23" t="s">
        <v>99</v>
      </c>
      <c r="D63" s="45"/>
      <c r="E63" s="46"/>
      <c r="F63" s="44"/>
      <c r="G63" s="44"/>
      <c r="H63" s="44"/>
      <c r="I63" s="44"/>
      <c r="J63" s="44"/>
      <c r="K63" s="44"/>
    </row>
    <row r="64" spans="1:11" x14ac:dyDescent="0.25">
      <c r="A64" s="23"/>
      <c r="D64" s="45"/>
      <c r="E64" s="46"/>
      <c r="F64" s="44"/>
      <c r="G64" s="44"/>
      <c r="H64" s="44"/>
      <c r="I64" s="44"/>
      <c r="J64" s="44"/>
      <c r="K64" s="44"/>
    </row>
    <row r="65" spans="1:11" x14ac:dyDescent="0.25">
      <c r="A65" s="23"/>
      <c r="D65" s="45"/>
      <c r="E65" s="43"/>
      <c r="F65" s="44"/>
      <c r="G65" s="44"/>
      <c r="H65" s="44"/>
      <c r="I65" s="44"/>
      <c r="J65" s="44"/>
      <c r="K65" s="44"/>
    </row>
    <row r="66" spans="1:11" x14ac:dyDescent="0.25">
      <c r="D66" s="44"/>
      <c r="E66" s="46"/>
      <c r="F66" s="44"/>
      <c r="G66" s="44"/>
      <c r="H66" s="44"/>
      <c r="I66" s="44"/>
      <c r="J66" s="44"/>
      <c r="K66" s="44"/>
    </row>
    <row r="67" spans="1:11" x14ac:dyDescent="0.25">
      <c r="A67" s="16" t="s">
        <v>100</v>
      </c>
      <c r="C67" s="17">
        <f>'[4]overall detail'!H1272</f>
        <v>14833.880000000003</v>
      </c>
      <c r="D67" s="45"/>
      <c r="E67" s="46"/>
      <c r="F67" s="44"/>
      <c r="G67" s="44"/>
      <c r="H67" s="44"/>
      <c r="I67" s="44"/>
      <c r="J67" s="44"/>
      <c r="K67" s="44"/>
    </row>
    <row r="68" spans="1:11" x14ac:dyDescent="0.25">
      <c r="A68" s="16" t="s">
        <v>101</v>
      </c>
      <c r="C68" s="17">
        <f>SUM(C67+C57)</f>
        <v>16208.960000000005</v>
      </c>
      <c r="D68" s="45"/>
      <c r="E68" s="46"/>
      <c r="F68" s="44"/>
      <c r="G68" s="44"/>
      <c r="H68" s="44"/>
      <c r="I68" s="44"/>
      <c r="J68" s="44"/>
      <c r="K68" s="44"/>
    </row>
    <row r="69" spans="1:11" x14ac:dyDescent="0.25">
      <c r="D69" s="45"/>
      <c r="E69" s="46"/>
      <c r="F69" s="44"/>
      <c r="G69" s="44"/>
      <c r="H69" s="44"/>
      <c r="I69" s="44"/>
      <c r="J69" s="44"/>
      <c r="K69" s="44"/>
    </row>
    <row r="70" spans="1:11" x14ac:dyDescent="0.25">
      <c r="A70" s="17" t="s">
        <v>102</v>
      </c>
      <c r="C70" s="17">
        <f>'[4]overall detail'!H1650</f>
        <v>16208.960000000001</v>
      </c>
      <c r="D70" s="45"/>
      <c r="E70" s="46"/>
      <c r="F70" s="44"/>
      <c r="G70" s="44"/>
      <c r="H70" s="44"/>
      <c r="I70" s="44"/>
      <c r="J70" s="44"/>
      <c r="K70" s="44"/>
    </row>
    <row r="71" spans="1:11" x14ac:dyDescent="0.25">
      <c r="D71" s="45"/>
      <c r="E71" s="44"/>
      <c r="F71" s="44"/>
      <c r="G71" s="44"/>
      <c r="H71" s="44"/>
      <c r="I71" s="44"/>
      <c r="J71" s="44"/>
      <c r="K71" s="44"/>
    </row>
    <row r="72" spans="1:11" x14ac:dyDescent="0.25">
      <c r="D72" s="44"/>
      <c r="E72" s="44"/>
      <c r="F72" s="44"/>
      <c r="G72" s="44"/>
      <c r="H72" s="44"/>
      <c r="I72" s="44"/>
      <c r="J72" s="44"/>
      <c r="K72" s="44"/>
    </row>
    <row r="73" spans="1:11" x14ac:dyDescent="0.25">
      <c r="D73" s="44"/>
      <c r="E73" s="44"/>
      <c r="F73" s="44"/>
      <c r="G73" s="44"/>
      <c r="H73" s="44"/>
      <c r="I73" s="44"/>
      <c r="J73" s="44"/>
      <c r="K73" s="44"/>
    </row>
    <row r="74" spans="1:11" x14ac:dyDescent="0.25">
      <c r="A74" s="23" t="s">
        <v>103</v>
      </c>
      <c r="C74" s="17">
        <f>[4]Stock!E43</f>
        <v>2607.9666666666667</v>
      </c>
      <c r="K74" s="44"/>
    </row>
    <row r="75" spans="1:11" x14ac:dyDescent="0.25">
      <c r="A75" s="23" t="s">
        <v>104</v>
      </c>
      <c r="C75" s="17">
        <f>'[4]Cash Float  Petty Cash'!G4</f>
        <v>138.25000000000006</v>
      </c>
    </row>
    <row r="77" spans="1:11" x14ac:dyDescent="0.25">
      <c r="A77" s="17" t="s">
        <v>105</v>
      </c>
      <c r="C77" s="17">
        <f>-'[4]overall detail'!F503-'[4]overall detail'!F540</f>
        <v>45</v>
      </c>
    </row>
    <row r="78" spans="1:11" ht="13.8" thickBot="1" x14ac:dyDescent="0.3">
      <c r="A78" s="23" t="s">
        <v>106</v>
      </c>
      <c r="C78" s="17">
        <f>'[4]overall detail'!F362+'[4]overall detail'!F369-C77</f>
        <v>-66.02</v>
      </c>
      <c r="F78" s="52"/>
    </row>
    <row r="79" spans="1:11" ht="13.8" thickBot="1" x14ac:dyDescent="0.3">
      <c r="A79" s="49" t="s">
        <v>107</v>
      </c>
      <c r="B79" s="50"/>
      <c r="C79" s="51">
        <f>C70-C78-C75-C81</f>
        <v>4110.0800000000017</v>
      </c>
    </row>
    <row r="80" spans="1:11" ht="13.8" thickBot="1" x14ac:dyDescent="0.3">
      <c r="A80" s="16"/>
      <c r="B80" s="16"/>
      <c r="C80" s="53"/>
    </row>
    <row r="81" spans="1:6" ht="13.8" thickBot="1" x14ac:dyDescent="0.3">
      <c r="A81" s="54" t="s">
        <v>108</v>
      </c>
      <c r="B81" s="55"/>
      <c r="C81" s="56">
        <f>12000+C21</f>
        <v>12026.65</v>
      </c>
    </row>
    <row r="83" spans="1:6" x14ac:dyDescent="0.25">
      <c r="A83" s="17" t="s">
        <v>109</v>
      </c>
      <c r="C83" s="17">
        <v>250</v>
      </c>
      <c r="F83" s="16"/>
    </row>
    <row r="84" spans="1:6" x14ac:dyDescent="0.25">
      <c r="A84" s="17" t="s">
        <v>110</v>
      </c>
      <c r="C84" s="17">
        <v>250</v>
      </c>
    </row>
    <row r="85" spans="1:6" x14ac:dyDescent="0.25">
      <c r="A85" s="17" t="s">
        <v>111</v>
      </c>
      <c r="C85" s="17">
        <f>'[4]Cash Float  Petty Cash'!D121</f>
        <v>242.38000000000005</v>
      </c>
    </row>
    <row r="87" spans="1:6" x14ac:dyDescent="0.25">
      <c r="A87" s="17" t="s">
        <v>112</v>
      </c>
      <c r="C87" s="17">
        <f>SUM(C83:C86)</f>
        <v>742.38000000000011</v>
      </c>
    </row>
    <row r="89" spans="1:6" ht="13.8" thickBot="1" x14ac:dyDescent="0.3"/>
    <row r="90" spans="1:6" ht="13.8" thickBot="1" x14ac:dyDescent="0.3">
      <c r="A90" s="19" t="s">
        <v>113</v>
      </c>
      <c r="B90" s="57"/>
      <c r="C90" s="20">
        <f>C87+C79+C81</f>
        <v>16879.11</v>
      </c>
    </row>
  </sheetData>
  <pageMargins left="0.59055118110236227" right="0.27559055118110237" top="0.70866141732283472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SOFA 2024</vt:lpstr>
      <vt:lpstr>Balance Sheet 2024</vt:lpstr>
      <vt:lpstr>Notes 2024</vt:lpstr>
      <vt:lpstr>accountsye311224</vt:lpstr>
      <vt:lpstr>accountsye311224!Print_Area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Mestecky</dc:creator>
  <cp:lastModifiedBy>Phil Mestecky</cp:lastModifiedBy>
  <cp:lastPrinted>2025-03-13T12:51:22Z</cp:lastPrinted>
  <dcterms:created xsi:type="dcterms:W3CDTF">2024-03-11T19:02:06Z</dcterms:created>
  <dcterms:modified xsi:type="dcterms:W3CDTF">2025-03-14T14:21:15Z</dcterms:modified>
</cp:coreProperties>
</file>